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evma\OneDrive\Desktop\DVE Board\Treasurer's Reports\"/>
    </mc:Choice>
  </mc:AlternateContent>
  <xr:revisionPtr revIDLastSave="0" documentId="13_ncr:1_{8B62E73C-F635-4CE9-8529-A3208662B2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" sheetId="1" r:id="rId1"/>
    <sheet name="Savings" sheetId="2" r:id="rId2"/>
  </sheets>
  <definedNames>
    <definedName name="_xlnm.Print_Area" localSheetId="0">Monthly!$A$1:$D$67</definedName>
    <definedName name="_xlnm.Print_Area" localSheetId="1">Savings!$A$1:$D$10</definedName>
    <definedName name="_xlnm.Print_Titles" localSheetId="0">Monthly!$A:$A,Monthly!$1:$5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42" i="1"/>
  <c r="C37" i="1"/>
  <c r="C56" i="1"/>
  <c r="B5" i="2"/>
  <c r="C14" i="1"/>
  <c r="B10" i="2"/>
  <c r="C10" i="2" s="1"/>
  <c r="C31" i="1"/>
  <c r="C12" i="1"/>
  <c r="C13" i="1"/>
  <c r="C45" i="1"/>
  <c r="C20" i="1"/>
  <c r="C11" i="1"/>
  <c r="C28" i="1"/>
  <c r="B8" i="1"/>
  <c r="B7" i="2"/>
  <c r="B56" i="1" l="1"/>
  <c r="B55" i="1"/>
  <c r="C33" i="1"/>
  <c r="B33" i="1"/>
  <c r="B40" i="1" s="1"/>
  <c r="C16" i="1"/>
  <c r="C8" i="1"/>
  <c r="C67" i="1" l="1"/>
  <c r="C46" i="1"/>
  <c r="B10" i="1"/>
  <c r="C40" i="1" l="1"/>
  <c r="C48" i="1" s="1"/>
  <c r="C57" i="1" l="1"/>
  <c r="B57" i="1"/>
  <c r="B7" i="1"/>
  <c r="B46" i="1"/>
  <c r="B48" i="1" s="1"/>
  <c r="B9" i="1" l="1"/>
  <c r="B16" i="1" s="1"/>
  <c r="C50" i="1" l="1"/>
  <c r="C51" i="1" s="1"/>
  <c r="C59" i="1" s="1"/>
  <c r="B50" i="1"/>
</calcChain>
</file>

<file path=xl/sharedStrings.xml><?xml version="1.0" encoding="utf-8"?>
<sst xmlns="http://schemas.openxmlformats.org/spreadsheetml/2006/main" count="87" uniqueCount="84">
  <si>
    <t>Security:</t>
  </si>
  <si>
    <t>Federal Taxes - Tax on  Interest Income</t>
  </si>
  <si>
    <t>Annual Meeting -  Meeting &amp; Refreshments</t>
  </si>
  <si>
    <t xml:space="preserve"> </t>
  </si>
  <si>
    <t>Liability Insurance</t>
  </si>
  <si>
    <t>Budget</t>
  </si>
  <si>
    <t>Security Total</t>
  </si>
  <si>
    <t>Road Maintenance:</t>
  </si>
  <si>
    <t>Gate Transmitters</t>
  </si>
  <si>
    <t>REVENUES</t>
  </si>
  <si>
    <t>EXPENDITURES</t>
  </si>
  <si>
    <t xml:space="preserve">Legal Fees  </t>
  </si>
  <si>
    <t xml:space="preserve">     Gate, Locks &amp; Entrance Light Maintenance</t>
  </si>
  <si>
    <t>Road Maintenance Total</t>
  </si>
  <si>
    <t xml:space="preserve">     Gate Transmitters</t>
  </si>
  <si>
    <t>Lot Transfer Fees</t>
  </si>
  <si>
    <t>Bridge Inspection</t>
  </si>
  <si>
    <t xml:space="preserve">     Fencing</t>
  </si>
  <si>
    <t>Actual</t>
  </si>
  <si>
    <t>Bridge Repair</t>
  </si>
  <si>
    <t xml:space="preserve">  </t>
  </si>
  <si>
    <t>Interest - Bank Account Earnings (checking )</t>
  </si>
  <si>
    <t>Gross Annual Assessment Income - 84 Lots - $70/Month</t>
  </si>
  <si>
    <t>Other Income</t>
  </si>
  <si>
    <t>Mosquito Control Pellets</t>
  </si>
  <si>
    <t>Mosquito Pellets</t>
  </si>
  <si>
    <t>Reserve total</t>
  </si>
  <si>
    <t xml:space="preserve">Assessments paid beyond FY </t>
  </si>
  <si>
    <r>
      <t xml:space="preserve">     </t>
    </r>
    <r>
      <rPr>
        <sz val="13"/>
        <rFont val="Times New Roman"/>
        <family val="1"/>
      </rPr>
      <t>Electricity for Entrance Gate &amp; Light</t>
    </r>
  </si>
  <si>
    <t>Ending Balance -- Trash Account</t>
  </si>
  <si>
    <t>TOTAL REVENUES (not including trash -- see below)</t>
  </si>
  <si>
    <r>
      <t>Administration Costs (</t>
    </r>
    <r>
      <rPr>
        <sz val="13"/>
        <rFont val="Times New Roman"/>
        <family val="1"/>
      </rPr>
      <t>Bank Fees, Copying, Postage, Zoom</t>
    </r>
  </si>
  <si>
    <t xml:space="preserve">     Road Signs</t>
  </si>
  <si>
    <t xml:space="preserve">     Spring Road Maintenance</t>
  </si>
  <si>
    <t xml:space="preserve">              Binder</t>
  </si>
  <si>
    <t xml:space="preserve">              Gravel</t>
  </si>
  <si>
    <r>
      <t xml:space="preserve">              </t>
    </r>
    <r>
      <rPr>
        <sz val="13"/>
        <rFont val="Times New Roman"/>
        <family val="1"/>
      </rPr>
      <t>Preparation</t>
    </r>
  </si>
  <si>
    <t xml:space="preserve">              Misc.</t>
  </si>
  <si>
    <t>TRASH ACCOUNT</t>
  </si>
  <si>
    <t xml:space="preserve">    DEER VALLEY ESTATES PROPERTY OWNERS' ASSOCIATION</t>
  </si>
  <si>
    <t>Trash Dumpster Rent / Disposal - WM</t>
  </si>
  <si>
    <t xml:space="preserve">                     FINANCIAL STATEMENT</t>
  </si>
  <si>
    <t>NET GAIN (LOSS) [Revenues - Expenditures]</t>
  </si>
  <si>
    <t>Reserve Fund</t>
  </si>
  <si>
    <t xml:space="preserve">     TOTAL EXPENDITURES (not incl. trash -- see below)</t>
  </si>
  <si>
    <t xml:space="preserve">        Snow Removal</t>
  </si>
  <si>
    <t xml:space="preserve">        Weed Control - Spraying Easement</t>
  </si>
  <si>
    <t>SAVINGS ACCOUNT</t>
  </si>
  <si>
    <t>Total Remaining in Savings Account</t>
  </si>
  <si>
    <t>RESERVE FUND</t>
  </si>
  <si>
    <r>
      <t xml:space="preserve">    </t>
    </r>
    <r>
      <rPr>
        <sz val="13"/>
        <rFont val="Times New Roman"/>
        <family val="1"/>
      </rPr>
      <t xml:space="preserve"> P.O. Box, State Corp. Fee, Supplies)</t>
    </r>
  </si>
  <si>
    <t>Ending Balance -- General Assessment Account</t>
  </si>
  <si>
    <t>General Assessments income</t>
  </si>
  <si>
    <t>Notes</t>
  </si>
  <si>
    <t>Amount in check book</t>
  </si>
  <si>
    <t>ENDING CASH BALANCE FY 9/30/24 --                 General Assessment Account + Trash Account</t>
  </si>
  <si>
    <t>Beginning Balance - 6/26/2024</t>
  </si>
  <si>
    <t>Road Fund - transfer unused budget amount in - 6/27/24</t>
  </si>
  <si>
    <t>Interest - June 30, 2024 - present</t>
  </si>
  <si>
    <t>Transfer FY 24 Reserve Fund In -- 6/27/2024</t>
  </si>
  <si>
    <t>Cash Balance as of 10/1/24 (carryover)</t>
  </si>
  <si>
    <t xml:space="preserve">       Culverts</t>
  </si>
  <si>
    <t>Welcome Committee</t>
  </si>
  <si>
    <t>Trash Carryover as of 10/1/24</t>
  </si>
  <si>
    <t>Trash Revenue - $15.00/Month (63 Residents)</t>
  </si>
  <si>
    <t>Open CD (with $2049 + $15,000 from road fund - 10/17/2024)</t>
  </si>
  <si>
    <t>2024-2025</t>
  </si>
  <si>
    <t>Discount for annual pre-pays (estimate 72 lot owners)</t>
  </si>
  <si>
    <t>Reserve Fund (27 month CD 51-1 issued 11/2/23, matures 2/2/26)</t>
  </si>
  <si>
    <t>Reserve Fund (42 month CD 61-1 issued 11/7/23, matures 5/7/27)</t>
  </si>
  <si>
    <t>Overpayment Returned to Owners or Put Into Savings</t>
  </si>
  <si>
    <t>Overpayment from Owners to be credited Oct. 2025 -- 1/8/2025</t>
  </si>
  <si>
    <t>$968/mo a/o Feb '24</t>
  </si>
  <si>
    <t>Closed CD  2/3/2025 -- to be put in Reserve Fund</t>
  </si>
  <si>
    <t>Reserve Fund (42 month CD 64-1 matured 2/2/25) - currently in Savings</t>
  </si>
  <si>
    <t>lot 78, 77, 49</t>
  </si>
  <si>
    <t>Reserve Fund (42 month CD 00-1 issued 10/17/24, matures 4/17/28)</t>
  </si>
  <si>
    <t>equipment, fuel</t>
  </si>
  <si>
    <t>$0.77 May 2025</t>
  </si>
  <si>
    <t>work on end of BCD</t>
  </si>
  <si>
    <t>C&amp;J Gravel</t>
  </si>
  <si>
    <t>deposit to Planet Excavation</t>
  </si>
  <si>
    <t>$30.45 June 2025</t>
  </si>
  <si>
    <t>$0.56 Jun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</si>
</sst>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2"/>
      <name val="Helv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u val="double"/>
      <sz val="13"/>
      <name val="Times New Roman"/>
      <family val="1"/>
    </font>
    <font>
      <b/>
      <u val="doubleAccounting"/>
      <sz val="13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15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7" fontId="3" fillId="0" borderId="1" xfId="0" applyNumberFormat="1" applyFont="1" applyBorder="1"/>
    <xf numFmtId="37" fontId="4" fillId="2" borderId="1" xfId="0" applyNumberFormat="1" applyFont="1" applyFill="1" applyBorder="1"/>
    <xf numFmtId="44" fontId="4" fillId="0" borderId="0" xfId="0" applyNumberFormat="1" applyFont="1" applyAlignment="1">
      <alignment wrapText="1"/>
    </xf>
    <xf numFmtId="37" fontId="4" fillId="0" borderId="1" xfId="1" applyNumberFormat="1" applyFont="1" applyBorder="1" applyProtection="1"/>
    <xf numFmtId="44" fontId="3" fillId="0" borderId="1" xfId="1" applyFont="1" applyBorder="1" applyProtection="1"/>
    <xf numFmtId="37" fontId="4" fillId="0" borderId="1" xfId="0" applyNumberFormat="1" applyFont="1" applyBorder="1"/>
    <xf numFmtId="37" fontId="4" fillId="0" borderId="5" xfId="0" applyNumberFormat="1" applyFont="1" applyBorder="1"/>
    <xf numFmtId="164" fontId="7" fillId="0" borderId="0" xfId="1" applyNumberFormat="1" applyFont="1" applyBorder="1" applyProtection="1"/>
    <xf numFmtId="37" fontId="4" fillId="0" borderId="0" xfId="0" applyNumberFormat="1" applyFont="1"/>
    <xf numFmtId="39" fontId="3" fillId="0" borderId="15" xfId="0" applyNumberFormat="1" applyFont="1" applyBorder="1"/>
    <xf numFmtId="0" fontId="3" fillId="0" borderId="15" xfId="0" applyFont="1" applyBorder="1"/>
    <xf numFmtId="37" fontId="4" fillId="0" borderId="12" xfId="0" applyNumberFormat="1" applyFont="1" applyBorder="1"/>
    <xf numFmtId="37" fontId="4" fillId="0" borderId="16" xfId="0" applyNumberFormat="1" applyFont="1" applyBorder="1"/>
    <xf numFmtId="0" fontId="3" fillId="0" borderId="3" xfId="0" applyFont="1" applyBorder="1"/>
    <xf numFmtId="0" fontId="3" fillId="0" borderId="20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3" fillId="0" borderId="15" xfId="0" applyFont="1" applyBorder="1" applyAlignment="1">
      <alignment horizontal="left" indent="1"/>
    </xf>
    <xf numFmtId="0" fontId="3" fillId="0" borderId="9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42" fontId="3" fillId="0" borderId="2" xfId="1" applyNumberFormat="1" applyFont="1" applyBorder="1" applyProtection="1"/>
    <xf numFmtId="42" fontId="3" fillId="0" borderId="1" xfId="0" applyNumberFormat="1" applyFont="1" applyBorder="1"/>
    <xf numFmtId="42" fontId="3" fillId="0" borderId="1" xfId="1" applyNumberFormat="1" applyFont="1" applyBorder="1" applyProtection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5" fontId="6" fillId="0" borderId="5" xfId="1" applyNumberFormat="1" applyFont="1" applyBorder="1" applyProtection="1"/>
    <xf numFmtId="5" fontId="6" fillId="0" borderId="16" xfId="1" applyNumberFormat="1" applyFont="1" applyBorder="1" applyProtection="1"/>
    <xf numFmtId="0" fontId="3" fillId="0" borderId="5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3" fillId="0" borderId="28" xfId="1" applyFont="1" applyBorder="1" applyAlignment="1">
      <alignment horizontal="right"/>
    </xf>
    <xf numFmtId="44" fontId="3" fillId="0" borderId="13" xfId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left"/>
    </xf>
    <xf numFmtId="164" fontId="3" fillId="0" borderId="4" xfId="1" applyNumberFormat="1" applyFont="1" applyFill="1" applyBorder="1" applyProtection="1"/>
    <xf numFmtId="37" fontId="4" fillId="3" borderId="2" xfId="0" applyNumberFormat="1" applyFont="1" applyFill="1" applyBorder="1"/>
    <xf numFmtId="42" fontId="3" fillId="0" borderId="6" xfId="0" applyNumberFormat="1" applyFont="1" applyBorder="1"/>
    <xf numFmtId="42" fontId="3" fillId="0" borderId="3" xfId="1" applyNumberFormat="1" applyFont="1" applyBorder="1" applyProtection="1"/>
    <xf numFmtId="164" fontId="3" fillId="2" borderId="1" xfId="1" applyNumberFormat="1" applyFont="1" applyFill="1" applyBorder="1" applyProtection="1"/>
    <xf numFmtId="0" fontId="3" fillId="0" borderId="26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4" fontId="3" fillId="0" borderId="5" xfId="1" applyNumberFormat="1" applyFont="1" applyBorder="1" applyProtection="1"/>
    <xf numFmtId="14" fontId="3" fillId="0" borderId="16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39" fontId="3" fillId="0" borderId="17" xfId="0" applyNumberFormat="1" applyFont="1" applyBorder="1"/>
    <xf numFmtId="39" fontId="3" fillId="0" borderId="17" xfId="1" applyNumberFormat="1" applyFont="1" applyBorder="1" applyProtection="1"/>
    <xf numFmtId="39" fontId="3" fillId="0" borderId="17" xfId="1" applyNumberFormat="1" applyFont="1" applyFill="1" applyBorder="1" applyProtection="1"/>
    <xf numFmtId="39" fontId="3" fillId="0" borderId="19" xfId="0" applyNumberFormat="1" applyFont="1" applyBorder="1"/>
    <xf numFmtId="39" fontId="3" fillId="0" borderId="19" xfId="1" applyNumberFormat="1" applyFont="1" applyFill="1" applyBorder="1" applyProtection="1"/>
    <xf numFmtId="39" fontId="3" fillId="0" borderId="24" xfId="1" applyNumberFormat="1" applyFont="1" applyBorder="1" applyProtection="1"/>
    <xf numFmtId="39" fontId="3" fillId="0" borderId="8" xfId="1" applyNumberFormat="1" applyFont="1" applyBorder="1" applyProtection="1"/>
    <xf numFmtId="39" fontId="4" fillId="0" borderId="24" xfId="0" applyNumberFormat="1" applyFont="1" applyBorder="1"/>
    <xf numFmtId="39" fontId="4" fillId="0" borderId="21" xfId="0" applyNumberFormat="1" applyFont="1" applyBorder="1"/>
    <xf numFmtId="39" fontId="4" fillId="0" borderId="17" xfId="0" applyNumberFormat="1" applyFont="1" applyBorder="1"/>
    <xf numFmtId="39" fontId="4" fillId="0" borderId="17" xfId="1" applyNumberFormat="1" applyFont="1" applyFill="1" applyBorder="1" applyProtection="1"/>
    <xf numFmtId="39" fontId="3" fillId="2" borderId="17" xfId="1" applyNumberFormat="1" applyFont="1" applyFill="1" applyBorder="1" applyProtection="1"/>
    <xf numFmtId="39" fontId="4" fillId="0" borderId="17" xfId="1" applyNumberFormat="1" applyFont="1" applyBorder="1" applyProtection="1"/>
    <xf numFmtId="39" fontId="6" fillId="0" borderId="24" xfId="1" applyNumberFormat="1" applyFont="1" applyBorder="1" applyProtection="1"/>
    <xf numFmtId="39" fontId="4" fillId="0" borderId="12" xfId="0" applyNumberFormat="1" applyFont="1" applyBorder="1"/>
    <xf numFmtId="39" fontId="3" fillId="0" borderId="23" xfId="1" applyNumberFormat="1" applyFont="1" applyFill="1" applyBorder="1" applyProtection="1"/>
    <xf numFmtId="39" fontId="4" fillId="2" borderId="17" xfId="0" applyNumberFormat="1" applyFont="1" applyFill="1" applyBorder="1"/>
    <xf numFmtId="39" fontId="4" fillId="0" borderId="0" xfId="0" applyNumberFormat="1" applyFont="1"/>
    <xf numFmtId="39" fontId="7" fillId="0" borderId="0" xfId="1" applyNumberFormat="1" applyFont="1" applyBorder="1" applyProtection="1"/>
    <xf numFmtId="37" fontId="3" fillId="2" borderId="1" xfId="0" applyNumberFormat="1" applyFont="1" applyFill="1" applyBorder="1"/>
    <xf numFmtId="2" fontId="4" fillId="0" borderId="0" xfId="0" applyNumberFormat="1" applyFont="1"/>
    <xf numFmtId="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6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Alignment="1">
      <alignment wrapText="1"/>
    </xf>
    <xf numFmtId="0" fontId="3" fillId="0" borderId="11" xfId="0" applyFont="1" applyBorder="1" applyAlignment="1">
      <alignment horizontal="center" wrapText="1"/>
    </xf>
    <xf numFmtId="164" fontId="7" fillId="0" borderId="28" xfId="1" applyNumberFormat="1" applyFont="1" applyBorder="1" applyProtection="1"/>
    <xf numFmtId="39" fontId="3" fillId="0" borderId="31" xfId="1" applyNumberFormat="1" applyFont="1" applyBorder="1" applyProtection="1"/>
    <xf numFmtId="39" fontId="3" fillId="2" borderId="1" xfId="0" applyNumberFormat="1" applyFont="1" applyFill="1" applyBorder="1"/>
    <xf numFmtId="39" fontId="2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7" fontId="6" fillId="0" borderId="13" xfId="1" applyNumberFormat="1" applyFont="1" applyBorder="1" applyAlignment="1" applyProtection="1"/>
    <xf numFmtId="7" fontId="3" fillId="0" borderId="18" xfId="0" applyNumberFormat="1" applyFont="1" applyBorder="1"/>
    <xf numFmtId="7" fontId="6" fillId="0" borderId="10" xfId="1" applyNumberFormat="1" applyFont="1" applyBorder="1" applyProtection="1"/>
    <xf numFmtId="0" fontId="4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37" fontId="3" fillId="2" borderId="1" xfId="1" applyNumberFormat="1" applyFont="1" applyFill="1" applyBorder="1" applyProtection="1"/>
    <xf numFmtId="39" fontId="3" fillId="0" borderId="5" xfId="1" applyNumberFormat="1" applyFont="1" applyBorder="1" applyProtection="1"/>
    <xf numFmtId="39" fontId="3" fillId="0" borderId="17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left"/>
    </xf>
    <xf numFmtId="0" fontId="3" fillId="0" borderId="43" xfId="0" applyFont="1" applyBorder="1"/>
    <xf numFmtId="0" fontId="3" fillId="0" borderId="32" xfId="0" applyFont="1" applyBorder="1"/>
    <xf numFmtId="39" fontId="3" fillId="0" borderId="12" xfId="0" applyNumberFormat="1" applyFont="1" applyBorder="1"/>
    <xf numFmtId="39" fontId="3" fillId="0" borderId="30" xfId="0" applyNumberFormat="1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7" fontId="3" fillId="0" borderId="50" xfId="0" applyNumberFormat="1" applyFont="1" applyBorder="1" applyAlignment="1">
      <alignment horizontal="right"/>
    </xf>
    <xf numFmtId="7" fontId="3" fillId="0" borderId="45" xfId="0" applyNumberFormat="1" applyFont="1" applyBorder="1" applyAlignment="1">
      <alignment horizontal="right"/>
    </xf>
    <xf numFmtId="165" fontId="3" fillId="0" borderId="45" xfId="0" applyNumberFormat="1" applyFont="1" applyBorder="1" applyAlignment="1">
      <alignment horizontal="right"/>
    </xf>
    <xf numFmtId="165" fontId="2" fillId="0" borderId="0" xfId="0" applyNumberFormat="1" applyFont="1"/>
    <xf numFmtId="39" fontId="9" fillId="0" borderId="0" xfId="0" applyNumberFormat="1" applyFont="1"/>
    <xf numFmtId="14" fontId="2" fillId="0" borderId="0" xfId="0" applyNumberFormat="1" applyFont="1"/>
    <xf numFmtId="6" fontId="4" fillId="0" borderId="0" xfId="0" applyNumberFormat="1" applyFont="1" applyAlignment="1">
      <alignment horizontal="left" wrapText="1"/>
    </xf>
    <xf numFmtId="0" fontId="3" fillId="0" borderId="3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9" fontId="3" fillId="0" borderId="38" xfId="0" applyNumberFormat="1" applyFont="1" applyBorder="1" applyAlignment="1">
      <alignment horizontal="right"/>
    </xf>
    <xf numFmtId="39" fontId="3" fillId="0" borderId="29" xfId="0" applyNumberFormat="1" applyFont="1" applyBorder="1" applyAlignment="1">
      <alignment horizontal="right"/>
    </xf>
    <xf numFmtId="39" fontId="3" fillId="0" borderId="39" xfId="0" applyNumberFormat="1" applyFont="1" applyBorder="1" applyAlignment="1">
      <alignment horizontal="right"/>
    </xf>
    <xf numFmtId="39" fontId="3" fillId="0" borderId="40" xfId="0" applyNumberFormat="1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39" fontId="3" fillId="0" borderId="36" xfId="0" applyNumberFormat="1" applyFont="1" applyBorder="1" applyAlignment="1">
      <alignment horizontal="right"/>
    </xf>
    <xf numFmtId="39" fontId="3" fillId="0" borderId="37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H83"/>
  <sheetViews>
    <sheetView showGridLines="0" tabSelected="1" zoomScale="82" zoomScaleNormal="82" zoomScalePageLayoutView="75" workbookViewId="0">
      <selection sqref="A1:C2"/>
    </sheetView>
  </sheetViews>
  <sheetFormatPr defaultColWidth="9.81640625" defaultRowHeight="15.6" x14ac:dyDescent="0.3"/>
  <cols>
    <col min="1" max="1" width="49.453125" style="1" customWidth="1"/>
    <col min="2" max="2" width="12.08984375" style="1" customWidth="1"/>
    <col min="3" max="3" width="12.81640625" style="6" customWidth="1"/>
    <col min="4" max="4" width="23.453125" style="4" customWidth="1"/>
    <col min="5" max="5" width="23.81640625" style="1" customWidth="1"/>
    <col min="6" max="16384" width="9.81640625" style="1"/>
  </cols>
  <sheetData>
    <row r="1" spans="1:6" x14ac:dyDescent="0.3">
      <c r="A1" s="130" t="s">
        <v>39</v>
      </c>
      <c r="B1" s="131"/>
      <c r="C1" s="132"/>
    </row>
    <row r="2" spans="1:6" ht="16.2" thickBot="1" x14ac:dyDescent="0.35">
      <c r="A2" s="133"/>
      <c r="B2" s="134"/>
      <c r="C2" s="135"/>
    </row>
    <row r="3" spans="1:6" ht="24.9" customHeight="1" thickBot="1" x14ac:dyDescent="0.35">
      <c r="A3" s="53" t="s">
        <v>41</v>
      </c>
      <c r="B3" s="54" t="s">
        <v>66</v>
      </c>
      <c r="C3" s="55" t="s">
        <v>66</v>
      </c>
      <c r="D3" s="8"/>
    </row>
    <row r="4" spans="1:6" ht="30" customHeight="1" thickBot="1" x14ac:dyDescent="0.35">
      <c r="A4" s="43" t="s">
        <v>60</v>
      </c>
      <c r="B4" s="44"/>
      <c r="C4" s="45">
        <v>2152.09</v>
      </c>
      <c r="D4" s="31"/>
    </row>
    <row r="5" spans="1:6" s="2" customFormat="1" ht="16.8" x14ac:dyDescent="0.3">
      <c r="A5" s="27"/>
      <c r="B5" s="39" t="s">
        <v>5</v>
      </c>
      <c r="C5" s="40" t="s">
        <v>18</v>
      </c>
      <c r="D5" s="8" t="s">
        <v>53</v>
      </c>
    </row>
    <row r="6" spans="1:6" s="2" customFormat="1" ht="17.399999999999999" thickBot="1" x14ac:dyDescent="0.35">
      <c r="A6" s="60" t="s">
        <v>9</v>
      </c>
      <c r="B6" s="57">
        <v>45930</v>
      </c>
      <c r="C6" s="58">
        <v>45834</v>
      </c>
      <c r="D6" s="10"/>
    </row>
    <row r="7" spans="1:6" ht="27" customHeight="1" x14ac:dyDescent="0.3">
      <c r="A7" s="22" t="s">
        <v>22</v>
      </c>
      <c r="B7" s="32">
        <f>(70*12*84)</f>
        <v>70560</v>
      </c>
      <c r="C7" s="93"/>
      <c r="D7" s="8"/>
      <c r="F7" s="5"/>
    </row>
    <row r="8" spans="1:6" ht="21" customHeight="1" x14ac:dyDescent="0.3">
      <c r="A8" s="22" t="s">
        <v>67</v>
      </c>
      <c r="B8" s="34">
        <f>+(72*-30)</f>
        <v>-2160</v>
      </c>
      <c r="C8" s="65">
        <f>-(72*30)</f>
        <v>-2160</v>
      </c>
      <c r="D8" s="8"/>
    </row>
    <row r="9" spans="1:6" ht="18" customHeight="1" x14ac:dyDescent="0.3">
      <c r="A9" s="22" t="s">
        <v>52</v>
      </c>
      <c r="B9" s="34">
        <f>SUM(B7:B8)</f>
        <v>68400</v>
      </c>
      <c r="C9" s="66">
        <v>66300</v>
      </c>
      <c r="D9" s="90"/>
    </row>
    <row r="10" spans="1:6" ht="16.8" x14ac:dyDescent="0.3">
      <c r="A10" s="22" t="s">
        <v>27</v>
      </c>
      <c r="B10" s="33">
        <f>0</f>
        <v>0</v>
      </c>
      <c r="C10" s="66">
        <v>180</v>
      </c>
      <c r="D10" s="8"/>
    </row>
    <row r="11" spans="1:6" ht="16.8" x14ac:dyDescent="0.3">
      <c r="A11" s="21" t="s">
        <v>8</v>
      </c>
      <c r="B11" s="33">
        <v>300</v>
      </c>
      <c r="C11" s="67">
        <f>33.93+20+33.93</f>
        <v>87.86</v>
      </c>
      <c r="D11" s="8"/>
    </row>
    <row r="12" spans="1:6" ht="16.8" x14ac:dyDescent="0.3">
      <c r="A12" s="22" t="s">
        <v>21</v>
      </c>
      <c r="B12" s="33">
        <v>30</v>
      </c>
      <c r="C12" s="67">
        <f>0.28+0.63+0.61+0.62+0.61+0.55+0.59+0.56</f>
        <v>4.4499999999999993</v>
      </c>
      <c r="D12" s="8" t="s">
        <v>83</v>
      </c>
    </row>
    <row r="13" spans="1:6" ht="16.8" x14ac:dyDescent="0.3">
      <c r="A13" s="21" t="s">
        <v>15</v>
      </c>
      <c r="B13" s="33">
        <v>100</v>
      </c>
      <c r="C13" s="67">
        <f>50+50+50</f>
        <v>150</v>
      </c>
      <c r="D13" s="8" t="s">
        <v>75</v>
      </c>
    </row>
    <row r="14" spans="1:6" ht="16.8" x14ac:dyDescent="0.3">
      <c r="A14" s="21" t="s">
        <v>24</v>
      </c>
      <c r="B14" s="33">
        <v>250</v>
      </c>
      <c r="C14" s="68">
        <f>46.86+46.86+15.62-16.62</f>
        <v>92.72</v>
      </c>
      <c r="D14" s="8"/>
    </row>
    <row r="15" spans="1:6" ht="16.8" x14ac:dyDescent="0.3">
      <c r="A15" s="21" t="s">
        <v>23</v>
      </c>
      <c r="B15" s="33">
        <v>60</v>
      </c>
      <c r="C15" s="66">
        <f>41+5+4.38+128.81</f>
        <v>179.19</v>
      </c>
      <c r="D15" s="8"/>
    </row>
    <row r="16" spans="1:6" ht="16.8" x14ac:dyDescent="0.3">
      <c r="A16" s="52" t="s">
        <v>30</v>
      </c>
      <c r="B16" s="50">
        <f>SUM(B7:B15)-B9</f>
        <v>69140</v>
      </c>
      <c r="C16" s="70">
        <f>SUM(C9:C15)</f>
        <v>66994.22</v>
      </c>
      <c r="D16" s="8"/>
    </row>
    <row r="17" spans="1:5" ht="16.8" x14ac:dyDescent="0.3">
      <c r="A17" s="28"/>
      <c r="B17" s="18"/>
      <c r="C17" s="71"/>
      <c r="D17" s="8"/>
    </row>
    <row r="18" spans="1:5" ht="17.399999999999999" thickBot="1" x14ac:dyDescent="0.35">
      <c r="A18" s="61" t="s">
        <v>10</v>
      </c>
      <c r="B18" s="24"/>
      <c r="C18" s="72"/>
      <c r="D18" s="8"/>
    </row>
    <row r="19" spans="1:5" ht="16.8" x14ac:dyDescent="0.3">
      <c r="A19" s="22" t="s">
        <v>31</v>
      </c>
      <c r="B19" s="12"/>
      <c r="C19" s="64"/>
      <c r="D19" s="8"/>
    </row>
    <row r="20" spans="1:5" ht="16.8" x14ac:dyDescent="0.3">
      <c r="A20" s="22" t="s">
        <v>50</v>
      </c>
      <c r="B20" s="34">
        <v>500</v>
      </c>
      <c r="C20" s="64">
        <f>15+69+167.74+35.42+5.86</f>
        <v>293.02000000000004</v>
      </c>
      <c r="D20" s="8"/>
    </row>
    <row r="21" spans="1:5" ht="16.8" x14ac:dyDescent="0.3">
      <c r="A21" s="22" t="s">
        <v>2</v>
      </c>
      <c r="B21" s="33">
        <v>100</v>
      </c>
      <c r="C21" s="64">
        <v>0</v>
      </c>
      <c r="D21" s="8"/>
    </row>
    <row r="22" spans="1:5" ht="16.8" x14ac:dyDescent="0.3">
      <c r="A22" s="22" t="s">
        <v>16</v>
      </c>
      <c r="B22" s="33">
        <v>0</v>
      </c>
      <c r="C22" s="64">
        <v>0</v>
      </c>
      <c r="D22" s="8"/>
    </row>
    <row r="23" spans="1:5" ht="16.8" x14ac:dyDescent="0.3">
      <c r="A23" s="22" t="s">
        <v>19</v>
      </c>
      <c r="B23" s="33">
        <v>0</v>
      </c>
      <c r="C23" s="64">
        <v>0</v>
      </c>
      <c r="D23" s="8"/>
    </row>
    <row r="24" spans="1:5" ht="16.8" x14ac:dyDescent="0.3">
      <c r="A24" s="22" t="s">
        <v>1</v>
      </c>
      <c r="B24" s="33">
        <v>150</v>
      </c>
      <c r="C24" s="64">
        <v>306.14</v>
      </c>
      <c r="D24" s="8"/>
    </row>
    <row r="25" spans="1:5" ht="15" customHeight="1" x14ac:dyDescent="0.3">
      <c r="A25" s="22" t="s">
        <v>11</v>
      </c>
      <c r="B25" s="33">
        <v>2000</v>
      </c>
      <c r="C25" s="64">
        <v>0</v>
      </c>
      <c r="D25" s="8"/>
    </row>
    <row r="26" spans="1:5" ht="16.8" x14ac:dyDescent="0.3">
      <c r="A26" s="22" t="s">
        <v>4</v>
      </c>
      <c r="B26" s="34">
        <v>1500</v>
      </c>
      <c r="C26" s="64">
        <v>1565</v>
      </c>
      <c r="D26" s="8"/>
      <c r="E26" s="4"/>
    </row>
    <row r="27" spans="1:5" ht="16.8" x14ac:dyDescent="0.3">
      <c r="A27" s="22" t="s">
        <v>25</v>
      </c>
      <c r="B27" s="34">
        <v>0</v>
      </c>
      <c r="C27" s="64">
        <v>0</v>
      </c>
      <c r="D27" s="8"/>
      <c r="E27" s="4"/>
    </row>
    <row r="28" spans="1:5" ht="16.8" x14ac:dyDescent="0.3">
      <c r="A28" s="22" t="s">
        <v>70</v>
      </c>
      <c r="B28" s="34">
        <v>0</v>
      </c>
      <c r="C28" s="106">
        <f>85+180+158.45</f>
        <v>423.45</v>
      </c>
      <c r="D28" s="8"/>
      <c r="E28" s="4"/>
    </row>
    <row r="29" spans="1:5" ht="16.8" x14ac:dyDescent="0.3">
      <c r="A29" s="22" t="s">
        <v>43</v>
      </c>
      <c r="B29" s="51">
        <v>2049</v>
      </c>
      <c r="C29" s="75">
        <v>0</v>
      </c>
      <c r="D29" s="8"/>
    </row>
    <row r="30" spans="1:5" ht="16.8" x14ac:dyDescent="0.3">
      <c r="A30" s="22" t="s">
        <v>7</v>
      </c>
      <c r="B30" s="13"/>
      <c r="C30" s="64"/>
      <c r="D30" s="8"/>
    </row>
    <row r="31" spans="1:5" ht="16.8" x14ac:dyDescent="0.3">
      <c r="A31" s="22" t="s">
        <v>61</v>
      </c>
      <c r="B31" s="83">
        <v>0</v>
      </c>
      <c r="C31" s="64">
        <f>25.76+25+17.26+59.93</f>
        <v>127.95000000000002</v>
      </c>
      <c r="D31" s="8" t="s">
        <v>77</v>
      </c>
    </row>
    <row r="32" spans="1:5" ht="16.8" x14ac:dyDescent="0.3">
      <c r="A32" s="29" t="s">
        <v>32</v>
      </c>
      <c r="B32" s="83">
        <v>300</v>
      </c>
      <c r="C32" s="64">
        <v>136.65</v>
      </c>
      <c r="D32" s="8"/>
    </row>
    <row r="33" spans="1:8" ht="16.8" x14ac:dyDescent="0.3">
      <c r="A33" s="29" t="s">
        <v>33</v>
      </c>
      <c r="B33" s="83">
        <f>SUM(B34:B37)</f>
        <v>46101</v>
      </c>
      <c r="C33" s="94">
        <f>SUM(C34:C37)</f>
        <v>16264.63</v>
      </c>
      <c r="D33" s="8"/>
    </row>
    <row r="34" spans="1:8" ht="33.6" x14ac:dyDescent="0.3">
      <c r="A34" s="28" t="s">
        <v>34</v>
      </c>
      <c r="B34" s="13">
        <v>17703</v>
      </c>
      <c r="C34" s="73">
        <v>12794</v>
      </c>
      <c r="D34" s="14" t="s">
        <v>81</v>
      </c>
      <c r="H34" s="3"/>
    </row>
    <row r="35" spans="1:8" ht="16.8" x14ac:dyDescent="0.3">
      <c r="A35" s="28" t="s">
        <v>35</v>
      </c>
      <c r="B35" s="13">
        <v>19731</v>
      </c>
      <c r="C35" s="73">
        <v>2571.8200000000002</v>
      </c>
      <c r="D35" s="8" t="s">
        <v>80</v>
      </c>
    </row>
    <row r="36" spans="1:8" ht="16.8" x14ac:dyDescent="0.3">
      <c r="A36" s="22" t="s">
        <v>36</v>
      </c>
      <c r="B36" s="13">
        <v>8667</v>
      </c>
      <c r="C36" s="73">
        <v>0</v>
      </c>
      <c r="D36" s="8" t="s">
        <v>3</v>
      </c>
    </row>
    <row r="37" spans="1:8" ht="16.8" x14ac:dyDescent="0.3">
      <c r="A37" s="28" t="s">
        <v>37</v>
      </c>
      <c r="B37" s="15">
        <v>0</v>
      </c>
      <c r="C37" s="73">
        <f>400+35.76+328.05+135</f>
        <v>898.81</v>
      </c>
      <c r="D37" s="8" t="s">
        <v>79</v>
      </c>
    </row>
    <row r="38" spans="1:8" ht="16.8" x14ac:dyDescent="0.3">
      <c r="A38" s="22" t="s">
        <v>45</v>
      </c>
      <c r="B38" s="104">
        <v>15000</v>
      </c>
      <c r="C38" s="64">
        <v>5680</v>
      </c>
      <c r="D38" s="124"/>
      <c r="E38" s="123"/>
    </row>
    <row r="39" spans="1:8" ht="16.8" x14ac:dyDescent="0.3">
      <c r="A39" s="22" t="s">
        <v>46</v>
      </c>
      <c r="B39" s="104">
        <v>300</v>
      </c>
      <c r="C39" s="66">
        <v>0</v>
      </c>
      <c r="D39" s="8"/>
    </row>
    <row r="40" spans="1:8" ht="16.8" x14ac:dyDescent="0.3">
      <c r="A40" s="22" t="s">
        <v>13</v>
      </c>
      <c r="B40" s="51">
        <f>SUM(B31:B33)+SUM(B38:B39)</f>
        <v>61701</v>
      </c>
      <c r="C40" s="75">
        <f>SUM(C31:C39)-C33</f>
        <v>22209.230000000003</v>
      </c>
      <c r="D40" s="8"/>
    </row>
    <row r="41" spans="1:8" ht="16.8" x14ac:dyDescent="0.3">
      <c r="A41" s="22" t="s">
        <v>0</v>
      </c>
      <c r="B41" s="16"/>
      <c r="C41" s="65"/>
      <c r="D41" s="8"/>
    </row>
    <row r="42" spans="1:8" ht="16.8" x14ac:dyDescent="0.3">
      <c r="A42" s="22" t="s">
        <v>28</v>
      </c>
      <c r="B42" s="13">
        <v>350</v>
      </c>
      <c r="C42" s="74">
        <f>26.08+26.78+17.92+25.89+27.58+27.23+26.84+30.26+30.45</f>
        <v>239.02999999999997</v>
      </c>
      <c r="D42" s="8" t="s">
        <v>82</v>
      </c>
    </row>
    <row r="43" spans="1:8" ht="16.8" x14ac:dyDescent="0.3">
      <c r="A43" s="28" t="s">
        <v>17</v>
      </c>
      <c r="B43" s="13">
        <v>300</v>
      </c>
      <c r="C43" s="76"/>
      <c r="D43" s="8"/>
    </row>
    <row r="44" spans="1:8" ht="16.8" x14ac:dyDescent="0.3">
      <c r="A44" s="28" t="s">
        <v>12</v>
      </c>
      <c r="B44" s="17">
        <v>300</v>
      </c>
      <c r="C44" s="76">
        <v>0</v>
      </c>
      <c r="D44" s="8"/>
    </row>
    <row r="45" spans="1:8" ht="16.8" x14ac:dyDescent="0.3">
      <c r="A45" s="28" t="s">
        <v>14</v>
      </c>
      <c r="B45" s="17">
        <v>0</v>
      </c>
      <c r="C45" s="76">
        <f>200.13+30.7</f>
        <v>230.82999999999998</v>
      </c>
      <c r="D45" s="8"/>
    </row>
    <row r="46" spans="1:8" ht="16.8" x14ac:dyDescent="0.3">
      <c r="A46" s="22" t="s">
        <v>6</v>
      </c>
      <c r="B46" s="56">
        <f>SUM(B42:B45)</f>
        <v>950</v>
      </c>
      <c r="C46" s="69">
        <f>SUM(C42:C45)</f>
        <v>469.85999999999996</v>
      </c>
      <c r="D46" s="8"/>
    </row>
    <row r="47" spans="1:8" ht="16.8" x14ac:dyDescent="0.3">
      <c r="A47" s="22" t="s">
        <v>62</v>
      </c>
      <c r="B47" s="56">
        <v>100</v>
      </c>
      <c r="C47" s="69"/>
      <c r="D47" s="8"/>
    </row>
    <row r="48" spans="1:8" ht="16.8" x14ac:dyDescent="0.3">
      <c r="A48" s="52" t="s">
        <v>44</v>
      </c>
      <c r="B48" s="56">
        <f>SUM(B20:B33)+SUM(B38:B39)+SUM(B46:B47)</f>
        <v>69050</v>
      </c>
      <c r="C48" s="105">
        <f>SUM(C20:C29)+C40+C46+C47</f>
        <v>25266.700000000004</v>
      </c>
      <c r="D48" s="8"/>
    </row>
    <row r="49" spans="1:7" ht="16.8" x14ac:dyDescent="0.3">
      <c r="A49" s="28"/>
      <c r="B49" s="7"/>
      <c r="C49" s="73"/>
      <c r="D49" s="8" t="s">
        <v>3</v>
      </c>
    </row>
    <row r="50" spans="1:7" ht="16.8" x14ac:dyDescent="0.3">
      <c r="A50" s="41" t="s">
        <v>42</v>
      </c>
      <c r="B50" s="37">
        <f>+B16-B48</f>
        <v>90</v>
      </c>
      <c r="C50" s="77">
        <f>+C16-C48</f>
        <v>41727.519999999997</v>
      </c>
      <c r="D50" s="8" t="s">
        <v>20</v>
      </c>
    </row>
    <row r="51" spans="1:7" ht="30" customHeight="1" thickBot="1" x14ac:dyDescent="0.35">
      <c r="A51" s="59" t="s">
        <v>51</v>
      </c>
      <c r="B51" s="38"/>
      <c r="C51" s="100">
        <f>+C50+C4</f>
        <v>43879.61</v>
      </c>
      <c r="D51" s="8"/>
    </row>
    <row r="52" spans="1:7" ht="17.399999999999999" thickBot="1" x14ac:dyDescent="0.35">
      <c r="A52" s="36"/>
      <c r="B52" s="23"/>
      <c r="C52" s="78"/>
      <c r="D52" s="14"/>
    </row>
    <row r="53" spans="1:7" ht="20.100000000000001" customHeight="1" x14ac:dyDescent="0.3">
      <c r="A53" s="42" t="s">
        <v>38</v>
      </c>
      <c r="B53" s="17"/>
      <c r="C53" s="73"/>
      <c r="D53" s="14"/>
    </row>
    <row r="54" spans="1:7" ht="16.8" x14ac:dyDescent="0.3">
      <c r="A54" s="46" t="s">
        <v>63</v>
      </c>
      <c r="B54" s="47">
        <v>3759</v>
      </c>
      <c r="C54" s="79">
        <v>3759.12</v>
      </c>
      <c r="D54" s="9"/>
    </row>
    <row r="55" spans="1:7" ht="16.8" x14ac:dyDescent="0.3">
      <c r="A55" s="21" t="s">
        <v>64</v>
      </c>
      <c r="B55" s="48">
        <f>15*12*63</f>
        <v>11340</v>
      </c>
      <c r="C55" s="74">
        <v>10905</v>
      </c>
      <c r="D55" s="8"/>
      <c r="E55" s="11"/>
      <c r="F55" s="11"/>
      <c r="G55" s="97"/>
    </row>
    <row r="56" spans="1:7" ht="16.8" x14ac:dyDescent="0.3">
      <c r="A56" s="22" t="s">
        <v>40</v>
      </c>
      <c r="B56" s="13">
        <f>+(880*3)+(968*9)</f>
        <v>11352</v>
      </c>
      <c r="C56" s="80">
        <f>880+880+880+880+968+968+968+968+968</f>
        <v>8360</v>
      </c>
      <c r="D56" s="8" t="s">
        <v>72</v>
      </c>
    </row>
    <row r="57" spans="1:7" ht="17.399999999999999" thickBot="1" x14ac:dyDescent="0.35">
      <c r="A57" s="30" t="s">
        <v>29</v>
      </c>
      <c r="B57" s="49">
        <f>+B54+B55-B56</f>
        <v>3747</v>
      </c>
      <c r="C57" s="99">
        <f>+C54+C55-C56</f>
        <v>6304.119999999999</v>
      </c>
      <c r="D57" s="14"/>
    </row>
    <row r="58" spans="1:7" ht="17.399999999999999" thickBot="1" x14ac:dyDescent="0.35">
      <c r="A58" s="35"/>
      <c r="B58" s="20"/>
      <c r="C58" s="81"/>
      <c r="D58" s="14"/>
    </row>
    <row r="59" spans="1:7" ht="36" thickBot="1" x14ac:dyDescent="0.5">
      <c r="A59" s="91" t="s">
        <v>55</v>
      </c>
      <c r="B59" s="92"/>
      <c r="C59" s="98">
        <f>C51+C57</f>
        <v>50183.729999999996</v>
      </c>
      <c r="D59" s="7" t="s">
        <v>54</v>
      </c>
    </row>
    <row r="60" spans="1:7" ht="18.600000000000001" x14ac:dyDescent="0.45">
      <c r="A60" s="7"/>
      <c r="B60" s="19"/>
      <c r="C60" s="82"/>
      <c r="D60" s="14"/>
    </row>
    <row r="61" spans="1:7" ht="17.399999999999999" thickBot="1" x14ac:dyDescent="0.35">
      <c r="A61" s="7"/>
      <c r="B61" s="7"/>
      <c r="C61" s="81"/>
      <c r="D61" s="1"/>
    </row>
    <row r="62" spans="1:7" ht="17.399999999999999" thickBot="1" x14ac:dyDescent="0.35">
      <c r="A62" s="125" t="s">
        <v>49</v>
      </c>
      <c r="B62" s="126"/>
      <c r="C62" s="127"/>
      <c r="D62" s="1"/>
    </row>
    <row r="63" spans="1:7" ht="17.399999999999999" thickBot="1" x14ac:dyDescent="0.35">
      <c r="A63" s="102" t="s">
        <v>74</v>
      </c>
      <c r="B63" s="114"/>
      <c r="C63" s="120">
        <v>6141.56</v>
      </c>
      <c r="D63" s="121"/>
    </row>
    <row r="64" spans="1:7" ht="17.399999999999999" thickBot="1" x14ac:dyDescent="0.35">
      <c r="A64" s="26" t="s">
        <v>68</v>
      </c>
      <c r="B64" s="115"/>
      <c r="C64" s="118">
        <v>12892.25</v>
      </c>
      <c r="D64" s="121"/>
    </row>
    <row r="65" spans="1:6" ht="17.399999999999999" thickBot="1" x14ac:dyDescent="0.35">
      <c r="A65" s="26" t="s">
        <v>69</v>
      </c>
      <c r="B65" s="115"/>
      <c r="C65" s="119">
        <v>15457.14</v>
      </c>
      <c r="D65" s="121"/>
    </row>
    <row r="66" spans="1:6" ht="17.399999999999999" thickBot="1" x14ac:dyDescent="0.35">
      <c r="A66" s="103" t="s">
        <v>76</v>
      </c>
      <c r="B66" s="116"/>
      <c r="C66" s="119">
        <v>17049</v>
      </c>
      <c r="D66" s="121"/>
    </row>
    <row r="67" spans="1:6" ht="17.399999999999999" thickBot="1" x14ac:dyDescent="0.35">
      <c r="A67" s="101"/>
      <c r="B67" s="117" t="s">
        <v>26</v>
      </c>
      <c r="C67" s="118">
        <f>SUM(C63:C66)</f>
        <v>51539.95</v>
      </c>
      <c r="D67" s="1"/>
    </row>
    <row r="68" spans="1:6" ht="16.8" x14ac:dyDescent="0.3">
      <c r="A68" s="7"/>
      <c r="B68" s="7"/>
      <c r="C68" s="84"/>
      <c r="D68" s="1"/>
    </row>
    <row r="69" spans="1:6" ht="16.8" x14ac:dyDescent="0.3">
      <c r="A69" s="128"/>
      <c r="B69" s="129"/>
      <c r="C69" s="129"/>
      <c r="D69" s="1"/>
    </row>
    <row r="70" spans="1:6" ht="16.8" x14ac:dyDescent="0.3">
      <c r="A70" s="7"/>
      <c r="B70" s="85"/>
      <c r="C70" s="86"/>
      <c r="D70" s="87"/>
    </row>
    <row r="71" spans="1:6" ht="16.8" x14ac:dyDescent="0.3">
      <c r="A71" s="11"/>
      <c r="B71" s="88"/>
      <c r="C71" s="89"/>
      <c r="D71" s="87"/>
      <c r="F71" s="95"/>
    </row>
    <row r="72" spans="1:6" ht="16.8" x14ac:dyDescent="0.3">
      <c r="A72" s="11"/>
      <c r="B72" s="88"/>
      <c r="C72" s="89"/>
      <c r="D72" s="87"/>
    </row>
    <row r="73" spans="1:6" ht="16.8" x14ac:dyDescent="0.3">
      <c r="A73" s="11"/>
      <c r="B73" s="88"/>
      <c r="C73" s="89"/>
      <c r="D73" s="87"/>
    </row>
    <row r="75" spans="1:6" ht="16.8" x14ac:dyDescent="0.3">
      <c r="A75" s="11"/>
      <c r="B75" s="7"/>
      <c r="C75" s="7"/>
    </row>
    <row r="76" spans="1:6" ht="16.8" x14ac:dyDescent="0.3">
      <c r="A76" s="35"/>
      <c r="B76" s="62"/>
      <c r="C76" s="35"/>
    </row>
    <row r="77" spans="1:6" ht="16.8" x14ac:dyDescent="0.3">
      <c r="A77" s="11"/>
      <c r="B77" s="11"/>
      <c r="C77" s="63"/>
    </row>
    <row r="78" spans="1:6" ht="16.8" x14ac:dyDescent="0.3">
      <c r="A78" s="11"/>
      <c r="B78" s="11"/>
      <c r="C78" s="63"/>
    </row>
    <row r="79" spans="1:6" ht="16.8" x14ac:dyDescent="0.3">
      <c r="A79" s="11"/>
      <c r="B79" s="11"/>
      <c r="C79" s="63"/>
    </row>
    <row r="80" spans="1:6" ht="16.8" x14ac:dyDescent="0.3">
      <c r="A80" s="11"/>
      <c r="B80" s="11"/>
      <c r="C80" s="63"/>
    </row>
    <row r="81" spans="1:3" ht="16.8" x14ac:dyDescent="0.3">
      <c r="A81" s="11"/>
      <c r="B81" s="11"/>
      <c r="C81" s="63"/>
    </row>
    <row r="82" spans="1:3" ht="16.8" x14ac:dyDescent="0.3">
      <c r="A82" s="11"/>
      <c r="B82" s="11"/>
      <c r="C82" s="63"/>
    </row>
    <row r="83" spans="1:3" ht="16.8" x14ac:dyDescent="0.3">
      <c r="A83" s="11"/>
      <c r="B83" s="11"/>
      <c r="C83" s="63"/>
    </row>
  </sheetData>
  <mergeCells count="3">
    <mergeCell ref="A62:C62"/>
    <mergeCell ref="A69:C69"/>
    <mergeCell ref="A1:C2"/>
  </mergeCells>
  <printOptions horizontalCentered="1" verticalCentered="1"/>
  <pageMargins left="0.25" right="0.25" top="0.25" bottom="0.25" header="0.3" footer="0.3"/>
  <pageSetup scale="6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309B-B0A4-41DD-891F-EB57532F0BA3}">
  <sheetPr>
    <pageSetUpPr fitToPage="1"/>
  </sheetPr>
  <dimension ref="A1:D10"/>
  <sheetViews>
    <sheetView workbookViewId="0"/>
  </sheetViews>
  <sheetFormatPr defaultRowHeight="15.6" x14ac:dyDescent="0.3"/>
  <cols>
    <col min="1" max="1" width="60.1796875" customWidth="1"/>
    <col min="2" max="2" width="10.6328125" hidden="1" customWidth="1"/>
    <col min="3" max="3" width="13.90625" customWidth="1"/>
    <col min="4" max="4" width="12.453125" customWidth="1"/>
  </cols>
  <sheetData>
    <row r="1" spans="1:4" ht="17.399999999999999" thickBot="1" x14ac:dyDescent="0.35">
      <c r="A1" s="107" t="s">
        <v>47</v>
      </c>
      <c r="B1" s="144"/>
      <c r="C1" s="145"/>
    </row>
    <row r="2" spans="1:4" ht="17.399999999999999" thickBot="1" x14ac:dyDescent="0.35">
      <c r="A2" s="108"/>
      <c r="B2" s="142" t="s">
        <v>18</v>
      </c>
      <c r="C2" s="143"/>
    </row>
    <row r="3" spans="1:4" ht="16.8" x14ac:dyDescent="0.3">
      <c r="A3" s="109" t="s">
        <v>56</v>
      </c>
      <c r="B3" s="146">
        <v>3637.6</v>
      </c>
      <c r="C3" s="147"/>
      <c r="D3" s="96"/>
    </row>
    <row r="4" spans="1:4" ht="16.8" x14ac:dyDescent="0.3">
      <c r="A4" s="25" t="s">
        <v>57</v>
      </c>
      <c r="B4" s="136">
        <v>23000</v>
      </c>
      <c r="C4" s="137"/>
      <c r="D4" s="96"/>
    </row>
    <row r="5" spans="1:4" ht="16.8" x14ac:dyDescent="0.3">
      <c r="A5" s="25" t="s">
        <v>58</v>
      </c>
      <c r="B5" s="136">
        <f>0.29+1.22+1.22+1.18+0.7+0.48+0.49+0.51+0.68+0.77+0.74+0.77</f>
        <v>9.0499999999999989</v>
      </c>
      <c r="C5" s="137"/>
      <c r="D5" s="122" t="s">
        <v>78</v>
      </c>
    </row>
    <row r="6" spans="1:4" ht="16.8" x14ac:dyDescent="0.3">
      <c r="A6" s="25" t="s">
        <v>59</v>
      </c>
      <c r="B6" s="136">
        <v>2049</v>
      </c>
      <c r="C6" s="137"/>
      <c r="D6" s="96"/>
    </row>
    <row r="7" spans="1:4" ht="16.8" x14ac:dyDescent="0.3">
      <c r="A7" s="26" t="s">
        <v>65</v>
      </c>
      <c r="B7" s="136">
        <f>-17049</f>
        <v>-17049</v>
      </c>
      <c r="C7" s="137"/>
      <c r="D7" s="96"/>
    </row>
    <row r="8" spans="1:4" ht="16.8" x14ac:dyDescent="0.3">
      <c r="A8" s="25" t="s">
        <v>73</v>
      </c>
      <c r="B8" s="140">
        <v>6141.56</v>
      </c>
      <c r="C8" s="141"/>
      <c r="D8" s="96"/>
    </row>
    <row r="9" spans="1:4" ht="17.399999999999999" thickBot="1" x14ac:dyDescent="0.35">
      <c r="A9" s="110" t="s">
        <v>71</v>
      </c>
      <c r="B9" s="138">
        <v>338.45</v>
      </c>
      <c r="C9" s="139"/>
      <c r="D9" s="96"/>
    </row>
    <row r="10" spans="1:4" ht="17.399999999999999" thickBot="1" x14ac:dyDescent="0.35">
      <c r="A10" s="111" t="s">
        <v>48</v>
      </c>
      <c r="B10" s="112">
        <f>SUM(B3:B9)</f>
        <v>18126.66</v>
      </c>
      <c r="C10" s="113">
        <f>SUM(B10)</f>
        <v>18126.66</v>
      </c>
      <c r="D10" s="96"/>
    </row>
  </sheetData>
  <mergeCells count="9">
    <mergeCell ref="B7:C7"/>
    <mergeCell ref="B9:C9"/>
    <mergeCell ref="B8:C8"/>
    <mergeCell ref="B2:C2"/>
    <mergeCell ref="B1:C1"/>
    <mergeCell ref="B3:C3"/>
    <mergeCell ref="B4:C4"/>
    <mergeCell ref="B5:C5"/>
    <mergeCell ref="B6:C6"/>
  </mergeCells>
  <pageMargins left="0.7" right="0.7" top="0.75" bottom="0.75" header="0.3" footer="0.3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Monthly</vt:lpstr>
      <vt:lpstr>Savings</vt:lpstr>
      <vt:lpstr>Monthly!Print_Area</vt:lpstr>
      <vt:lpstr>Savings!Print_Area</vt:lpstr>
      <vt:lpstr>Monthly!Print_Titles</vt:lpstr>
    </vt:vector>
  </TitlesOfParts>
  <Company>Lincoln Financial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kerickson72@gmail.com</dc:creator>
  <cp:lastModifiedBy>Mark Wagner</cp:lastModifiedBy>
  <cp:lastPrinted>2025-03-24T16:26:47Z</cp:lastPrinted>
  <dcterms:created xsi:type="dcterms:W3CDTF">1998-09-13T17:13:00Z</dcterms:created>
  <dcterms:modified xsi:type="dcterms:W3CDTF">2025-06-27T18:06:55Z</dcterms:modified>
</cp:coreProperties>
</file>