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evma\OneDrive\Desktop\DVE Board\Annual Meeting\2025\"/>
    </mc:Choice>
  </mc:AlternateContent>
  <xr:revisionPtr revIDLastSave="0" documentId="13_ncr:1_{EE932283-F333-4216-B1FE-3D0332D344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</sheets>
  <definedNames>
    <definedName name="_xlnm.Print_Area" localSheetId="0">Monthly!$A$1:$D$76</definedName>
    <definedName name="_xlnm.Print_Titles" localSheetId="0">Monthly!$A:$A,Monthly!$1:$5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B71" i="1"/>
  <c r="B74" i="1"/>
  <c r="D56" i="1"/>
  <c r="D57" i="1" s="1"/>
  <c r="D46" i="1"/>
  <c r="D48" i="1" s="1"/>
  <c r="D33" i="1"/>
  <c r="D40" i="1" s="1"/>
  <c r="D10" i="1"/>
  <c r="D8" i="1"/>
  <c r="D7" i="1"/>
  <c r="C9" i="1"/>
  <c r="C14" i="1"/>
  <c r="C15" i="1"/>
  <c r="C12" i="1"/>
  <c r="C42" i="1"/>
  <c r="C37" i="1"/>
  <c r="C56" i="1"/>
  <c r="C31" i="1"/>
  <c r="C13" i="1"/>
  <c r="C45" i="1"/>
  <c r="C20" i="1"/>
  <c r="C11" i="1"/>
  <c r="C28" i="1"/>
  <c r="B8" i="1"/>
  <c r="D9" i="1" l="1"/>
  <c r="D16" i="1" s="1"/>
  <c r="D50" i="1" s="1"/>
  <c r="B56" i="1"/>
  <c r="B55" i="1"/>
  <c r="C33" i="1"/>
  <c r="B33" i="1"/>
  <c r="B40" i="1" s="1"/>
  <c r="C16" i="1"/>
  <c r="C8" i="1"/>
  <c r="C65" i="1" l="1"/>
  <c r="C46" i="1"/>
  <c r="B10" i="1"/>
  <c r="C40" i="1" l="1"/>
  <c r="C48" i="1" s="1"/>
  <c r="C57" i="1" l="1"/>
  <c r="B57" i="1"/>
  <c r="B7" i="1"/>
  <c r="B46" i="1"/>
  <c r="B48" i="1" s="1"/>
  <c r="B9" i="1" l="1"/>
  <c r="B16" i="1" s="1"/>
  <c r="C50" i="1" l="1"/>
  <c r="B50" i="1"/>
</calcChain>
</file>

<file path=xl/sharedStrings.xml><?xml version="1.0" encoding="utf-8"?>
<sst xmlns="http://schemas.openxmlformats.org/spreadsheetml/2006/main" count="72" uniqueCount="70">
  <si>
    <t>Security:</t>
  </si>
  <si>
    <t>Federal Taxes - Tax on  Interest Income</t>
  </si>
  <si>
    <t>Annual Meeting -  Meeting &amp; Refreshments</t>
  </si>
  <si>
    <t xml:space="preserve"> </t>
  </si>
  <si>
    <t>Liability Insurance</t>
  </si>
  <si>
    <t>Budget</t>
  </si>
  <si>
    <t>Security Total</t>
  </si>
  <si>
    <t>Road Maintenance:</t>
  </si>
  <si>
    <t>Gate Transmitters</t>
  </si>
  <si>
    <t>REVENUES</t>
  </si>
  <si>
    <t>EXPENDITURES</t>
  </si>
  <si>
    <t xml:space="preserve">Legal Fees  </t>
  </si>
  <si>
    <t xml:space="preserve">     Gate, Locks &amp; Entrance Light Maintenance</t>
  </si>
  <si>
    <t>Road Maintenance Total</t>
  </si>
  <si>
    <t xml:space="preserve">     Gate Transmitters</t>
  </si>
  <si>
    <t>Lot Transfer Fees</t>
  </si>
  <si>
    <t>Bridge Inspection</t>
  </si>
  <si>
    <t xml:space="preserve">     Fencing</t>
  </si>
  <si>
    <t>Actual</t>
  </si>
  <si>
    <t>Bridge Repair</t>
  </si>
  <si>
    <t>Interest - Bank Account Earnings (checking )</t>
  </si>
  <si>
    <t>Gross Annual Assessment Income - 84 Lots - $70/Month</t>
  </si>
  <si>
    <t>Other Income</t>
  </si>
  <si>
    <t>Mosquito Control Pellets</t>
  </si>
  <si>
    <t>Mosquito Pellets</t>
  </si>
  <si>
    <t>Reserve total</t>
  </si>
  <si>
    <t xml:space="preserve">Assessments paid beyond FY </t>
  </si>
  <si>
    <r>
      <t xml:space="preserve">     </t>
    </r>
    <r>
      <rPr>
        <sz val="13"/>
        <rFont val="Times New Roman"/>
        <family val="1"/>
      </rPr>
      <t>Electricity for Entrance Gate &amp; Light</t>
    </r>
  </si>
  <si>
    <t>Ending Balance -- Trash Account</t>
  </si>
  <si>
    <t>TOTAL REVENUES (not including trash -- see below)</t>
  </si>
  <si>
    <r>
      <t>Administration Costs (</t>
    </r>
    <r>
      <rPr>
        <sz val="13"/>
        <rFont val="Times New Roman"/>
        <family val="1"/>
      </rPr>
      <t>Bank Fees, Copying, Postage, Zoom</t>
    </r>
  </si>
  <si>
    <t xml:space="preserve">     Road Signs</t>
  </si>
  <si>
    <t xml:space="preserve">     Spring Road Maintenance</t>
  </si>
  <si>
    <t xml:space="preserve">              Binder</t>
  </si>
  <si>
    <t xml:space="preserve">              Gravel</t>
  </si>
  <si>
    <r>
      <t xml:space="preserve">              </t>
    </r>
    <r>
      <rPr>
        <sz val="13"/>
        <rFont val="Times New Roman"/>
        <family val="1"/>
      </rPr>
      <t>Preparation</t>
    </r>
  </si>
  <si>
    <t xml:space="preserve">              Misc.</t>
  </si>
  <si>
    <t xml:space="preserve">    DEER VALLEY ESTATES PROPERTY OWNERS' ASSOCIATION</t>
  </si>
  <si>
    <t>Trash Dumpster Rent / Disposal - WM</t>
  </si>
  <si>
    <t>NET GAIN (LOSS) [Revenues - Expenditures]</t>
  </si>
  <si>
    <t>Reserve Fund</t>
  </si>
  <si>
    <t xml:space="preserve">     TOTAL EXPENDITURES (not incl. trash -- see below)</t>
  </si>
  <si>
    <t xml:space="preserve">        Snow Removal</t>
  </si>
  <si>
    <t xml:space="preserve">        Weed Control - Spraying Easement</t>
  </si>
  <si>
    <t>Total Remaining in Savings Account</t>
  </si>
  <si>
    <t>RESERVE FUND</t>
  </si>
  <si>
    <r>
      <t xml:space="preserve">    </t>
    </r>
    <r>
      <rPr>
        <sz val="13"/>
        <rFont val="Times New Roman"/>
        <family val="1"/>
      </rPr>
      <t xml:space="preserve"> P.O. Box, State Corp. Fee, Supplies)</t>
    </r>
  </si>
  <si>
    <t>General Assessments income</t>
  </si>
  <si>
    <t>Beginning Balance - 6/26/2024</t>
  </si>
  <si>
    <t>Road Fund - transfer unused budget amount in - 6/27/24</t>
  </si>
  <si>
    <t>Transfer FY 24 Reserve Fund In -- 6/27/2024</t>
  </si>
  <si>
    <t xml:space="preserve">       Culverts</t>
  </si>
  <si>
    <t>Welcome Committee</t>
  </si>
  <si>
    <t>Trash Revenue - $15.00/Month (63 Residents)</t>
  </si>
  <si>
    <t>Open CD (with $2049 + $15,000 from road fund - 10/17/2024)</t>
  </si>
  <si>
    <t>Discount for annual pre-pays (estimate 72 lot owners)</t>
  </si>
  <si>
    <t>Reserve Fund (27 month CD 51-1 issued 11/2/23, matures 2/2/26)</t>
  </si>
  <si>
    <t>Reserve Fund (42 month CD 61-1 issued 11/7/23, matures 5/7/27)</t>
  </si>
  <si>
    <t>Overpayment Returned to Owners or Put Into Savings</t>
  </si>
  <si>
    <t>Closed CD  2/3/2025 -- to be put in Reserve Fund</t>
  </si>
  <si>
    <t>Reserve Fund (42 month CD 64-1 matured 2/2/25) - currently in Savings</t>
  </si>
  <si>
    <t>Reserve Fund (42 month CD 00-1 issued 10/17/24, matures 4/17/28)</t>
  </si>
  <si>
    <t>2024 - 2025</t>
  </si>
  <si>
    <t>through 6/26/25</t>
  </si>
  <si>
    <t>2025 - 2026</t>
  </si>
  <si>
    <r>
      <t>TRASH</t>
    </r>
    <r>
      <rPr>
        <b/>
        <sz val="13"/>
        <color rgb="FFFF0000"/>
        <rFont val="Times New Roman"/>
        <family val="1"/>
      </rPr>
      <t xml:space="preserve"> (not part of Budget)</t>
    </r>
  </si>
  <si>
    <r>
      <t>Trash Carryover as of 10/1/25</t>
    </r>
    <r>
      <rPr>
        <b/>
        <sz val="13"/>
        <color rgb="FFFF0000"/>
        <rFont val="Times New Roman"/>
        <family val="1"/>
      </rPr>
      <t xml:space="preserve"> (estimate)</t>
    </r>
  </si>
  <si>
    <r>
      <t>SAVINGS ACCOUNT</t>
    </r>
    <r>
      <rPr>
        <b/>
        <sz val="13"/>
        <color rgb="FFFF0000"/>
        <rFont val="Times New Roman"/>
        <family val="1"/>
      </rPr>
      <t xml:space="preserve"> (not part of Budget)</t>
    </r>
  </si>
  <si>
    <r>
      <t>Interest - June 30, 2024 - present</t>
    </r>
    <r>
      <rPr>
        <b/>
        <sz val="13"/>
        <color rgb="FFFF0000"/>
        <rFont val="Times New Roman"/>
        <family val="1"/>
      </rPr>
      <t xml:space="preserve"> (estimate)</t>
    </r>
  </si>
  <si>
    <t>Transfer FY 24 Reserve Fund In  ??/??/2025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</si>
</sst>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 val="double"/>
      <sz val="13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b/>
      <u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0" borderId="0" xfId="0" applyFont="1"/>
    <xf numFmtId="37" fontId="3" fillId="0" borderId="1" xfId="0" applyNumberFormat="1" applyFont="1" applyBorder="1"/>
    <xf numFmtId="37" fontId="4" fillId="2" borderId="1" xfId="0" applyNumberFormat="1" applyFont="1" applyFill="1" applyBorder="1"/>
    <xf numFmtId="44" fontId="4" fillId="0" borderId="0" xfId="0" applyNumberFormat="1" applyFont="1" applyAlignment="1">
      <alignment wrapText="1"/>
    </xf>
    <xf numFmtId="37" fontId="4" fillId="0" borderId="1" xfId="1" applyNumberFormat="1" applyFont="1" applyBorder="1" applyProtection="1"/>
    <xf numFmtId="44" fontId="3" fillId="0" borderId="1" xfId="1" applyFont="1" applyBorder="1" applyProtection="1"/>
    <xf numFmtId="37" fontId="4" fillId="0" borderId="1" xfId="0" applyNumberFormat="1" applyFont="1" applyBorder="1"/>
    <xf numFmtId="37" fontId="4" fillId="0" borderId="5" xfId="0" applyNumberFormat="1" applyFont="1" applyBorder="1"/>
    <xf numFmtId="37" fontId="4" fillId="0" borderId="0" xfId="0" applyNumberFormat="1" applyFont="1"/>
    <xf numFmtId="39" fontId="3" fillId="0" borderId="13" xfId="0" applyNumberFormat="1" applyFont="1" applyBorder="1"/>
    <xf numFmtId="0" fontId="3" fillId="0" borderId="13" xfId="0" applyFont="1" applyBorder="1"/>
    <xf numFmtId="37" fontId="4" fillId="0" borderId="14" xfId="0" applyNumberFormat="1" applyFont="1" applyBorder="1"/>
    <xf numFmtId="0" fontId="3" fillId="0" borderId="3" xfId="0" applyFont="1" applyBorder="1"/>
    <xf numFmtId="0" fontId="3" fillId="0" borderId="18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3" fillId="0" borderId="13" xfId="0" applyFont="1" applyBorder="1" applyAlignment="1">
      <alignment horizontal="left" indent="1"/>
    </xf>
    <xf numFmtId="0" fontId="3" fillId="0" borderId="8" xfId="0" applyFont="1" applyBorder="1" applyAlignment="1">
      <alignment horizontal="left"/>
    </xf>
    <xf numFmtId="42" fontId="3" fillId="0" borderId="2" xfId="1" applyNumberFormat="1" applyFont="1" applyBorder="1" applyProtection="1"/>
    <xf numFmtId="42" fontId="3" fillId="0" borderId="1" xfId="0" applyNumberFormat="1" applyFont="1" applyBorder="1"/>
    <xf numFmtId="42" fontId="3" fillId="0" borderId="1" xfId="1" applyNumberFormat="1" applyFont="1" applyBorder="1" applyProtection="1"/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left"/>
    </xf>
    <xf numFmtId="164" fontId="3" fillId="0" borderId="4" xfId="1" applyNumberFormat="1" applyFont="1" applyFill="1" applyBorder="1" applyProtection="1"/>
    <xf numFmtId="37" fontId="4" fillId="3" borderId="2" xfId="0" applyNumberFormat="1" applyFont="1" applyFill="1" applyBorder="1"/>
    <xf numFmtId="42" fontId="3" fillId="0" borderId="6" xfId="0" applyNumberFormat="1" applyFont="1" applyBorder="1"/>
    <xf numFmtId="42" fontId="3" fillId="0" borderId="3" xfId="1" applyNumberFormat="1" applyFont="1" applyBorder="1" applyProtection="1"/>
    <xf numFmtId="164" fontId="3" fillId="2" borderId="1" xfId="1" applyNumberFormat="1" applyFont="1" applyFill="1" applyBorder="1" applyProtection="1"/>
    <xf numFmtId="0" fontId="3" fillId="0" borderId="21" xfId="0" applyFont="1" applyBorder="1" applyAlignment="1">
      <alignment horizontal="center"/>
    </xf>
    <xf numFmtId="164" fontId="3" fillId="0" borderId="5" xfId="1" applyNumberFormat="1" applyFont="1" applyBorder="1" applyProtection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2" fontId="3" fillId="0" borderId="0" xfId="0" applyNumberFormat="1" applyFont="1"/>
    <xf numFmtId="39" fontId="4" fillId="0" borderId="15" xfId="1" applyNumberFormat="1" applyFont="1" applyFill="1" applyBorder="1" applyProtection="1"/>
    <xf numFmtId="39" fontId="3" fillId="0" borderId="19" xfId="1" applyNumberFormat="1" applyFont="1" applyFill="1" applyBorder="1" applyProtection="1"/>
    <xf numFmtId="39" fontId="4" fillId="2" borderId="15" xfId="0" applyNumberFormat="1" applyFont="1" applyFill="1" applyBorder="1"/>
    <xf numFmtId="39" fontId="4" fillId="0" borderId="0" xfId="0" applyNumberFormat="1" applyFont="1"/>
    <xf numFmtId="37" fontId="3" fillId="2" borderId="1" xfId="0" applyNumberFormat="1" applyFont="1" applyFill="1" applyBorder="1"/>
    <xf numFmtId="2" fontId="4" fillId="0" borderId="0" xfId="0" applyNumberFormat="1" applyFont="1"/>
    <xf numFmtId="39" fontId="2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7" fontId="3" fillId="0" borderId="16" xfId="0" applyNumberFormat="1" applyFont="1" applyBorder="1"/>
    <xf numFmtId="0" fontId="4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37" fontId="3" fillId="2" borderId="1" xfId="1" applyNumberFormat="1" applyFont="1" applyFill="1" applyBorder="1" applyProtection="1"/>
    <xf numFmtId="0" fontId="3" fillId="0" borderId="10" xfId="0" applyFont="1" applyBorder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3" fillId="0" borderId="27" xfId="0" applyFont="1" applyBorder="1"/>
    <xf numFmtId="39" fontId="3" fillId="0" borderId="11" xfId="0" applyNumberFormat="1" applyFont="1" applyBorder="1"/>
    <xf numFmtId="39" fontId="3" fillId="0" borderId="25" xfId="0" applyNumberFormat="1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0" fontId="3" fillId="0" borderId="41" xfId="0" applyFont="1" applyBorder="1"/>
    <xf numFmtId="7" fontId="3" fillId="0" borderId="42" xfId="0" applyNumberFormat="1" applyFont="1" applyBorder="1" applyAlignment="1">
      <alignment horizontal="right"/>
    </xf>
    <xf numFmtId="7" fontId="3" fillId="0" borderId="37" xfId="0" applyNumberFormat="1" applyFont="1" applyBorder="1" applyAlignment="1">
      <alignment horizontal="right"/>
    </xf>
    <xf numFmtId="165" fontId="3" fillId="0" borderId="37" xfId="0" applyNumberFormat="1" applyFont="1" applyBorder="1" applyAlignment="1">
      <alignment horizontal="right"/>
    </xf>
    <xf numFmtId="165" fontId="2" fillId="0" borderId="0" xfId="0" applyNumberFormat="1" applyFont="1"/>
    <xf numFmtId="39" fontId="7" fillId="0" borderId="0" xfId="0" applyNumberFormat="1" applyFont="1"/>
    <xf numFmtId="14" fontId="2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4" fontId="3" fillId="0" borderId="43" xfId="1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/>
    </xf>
    <xf numFmtId="44" fontId="3" fillId="0" borderId="46" xfId="1" applyFont="1" applyFill="1" applyBorder="1" applyAlignment="1">
      <alignment horizontal="right" vertical="center"/>
    </xf>
    <xf numFmtId="2" fontId="3" fillId="0" borderId="47" xfId="0" applyNumberFormat="1" applyFont="1" applyBorder="1" applyAlignment="1">
      <alignment horizontal="center" vertical="center"/>
    </xf>
    <xf numFmtId="14" fontId="5" fillId="0" borderId="48" xfId="0" applyNumberFormat="1" applyFont="1" applyBorder="1" applyAlignment="1">
      <alignment horizontal="center" vertical="center"/>
    </xf>
    <xf numFmtId="39" fontId="3" fillId="0" borderId="2" xfId="1" applyNumberFormat="1" applyFont="1" applyBorder="1" applyProtection="1"/>
    <xf numFmtId="39" fontId="3" fillId="0" borderId="2" xfId="1" applyNumberFormat="1" applyFont="1" applyFill="1" applyBorder="1" applyProtection="1"/>
    <xf numFmtId="39" fontId="3" fillId="0" borderId="0" xfId="1" applyNumberFormat="1" applyFont="1" applyFill="1" applyBorder="1" applyProtection="1"/>
    <xf numFmtId="39" fontId="3" fillId="0" borderId="39" xfId="1" applyNumberFormat="1" applyFont="1" applyBorder="1" applyProtection="1"/>
    <xf numFmtId="39" fontId="4" fillId="0" borderId="38" xfId="0" applyNumberFormat="1" applyFont="1" applyBorder="1"/>
    <xf numFmtId="39" fontId="4" fillId="0" borderId="48" xfId="0" applyNumberFormat="1" applyFont="1" applyBorder="1"/>
    <xf numFmtId="39" fontId="3" fillId="0" borderId="2" xfId="0" applyNumberFormat="1" applyFont="1" applyBorder="1"/>
    <xf numFmtId="39" fontId="3" fillId="0" borderId="2" xfId="0" applyNumberFormat="1" applyFont="1" applyBorder="1" applyAlignment="1">
      <alignment horizontal="right"/>
    </xf>
    <xf numFmtId="39" fontId="3" fillId="2" borderId="2" xfId="1" applyNumberFormat="1" applyFont="1" applyFill="1" applyBorder="1" applyProtection="1"/>
    <xf numFmtId="39" fontId="3" fillId="2" borderId="2" xfId="0" applyNumberFormat="1" applyFont="1" applyFill="1" applyBorder="1"/>
    <xf numFmtId="39" fontId="4" fillId="0" borderId="2" xfId="0" applyNumberFormat="1" applyFont="1" applyBorder="1"/>
    <xf numFmtId="39" fontId="4" fillId="0" borderId="2" xfId="1" applyNumberFormat="1" applyFont="1" applyFill="1" applyBorder="1" applyProtection="1"/>
    <xf numFmtId="39" fontId="4" fillId="0" borderId="2" xfId="1" applyNumberFormat="1" applyFont="1" applyBorder="1" applyProtection="1"/>
    <xf numFmtId="39" fontId="3" fillId="0" borderId="38" xfId="1" applyNumberFormat="1" applyFont="1" applyBorder="1" applyProtection="1"/>
    <xf numFmtId="0" fontId="3" fillId="0" borderId="49" xfId="0" applyFont="1" applyBorder="1" applyAlignment="1">
      <alignment horizontal="center" wrapText="1"/>
    </xf>
    <xf numFmtId="0" fontId="4" fillId="0" borderId="49" xfId="0" applyFont="1" applyBorder="1" applyAlignment="1">
      <alignment horizontal="left" vertical="center" wrapText="1"/>
    </xf>
    <xf numFmtId="14" fontId="3" fillId="0" borderId="51" xfId="0" applyNumberFormat="1" applyFont="1" applyBorder="1" applyAlignment="1">
      <alignment horizontal="center" vertical="center" wrapText="1"/>
    </xf>
    <xf numFmtId="42" fontId="3" fillId="0" borderId="50" xfId="1" applyNumberFormat="1" applyFont="1" applyBorder="1" applyProtection="1"/>
    <xf numFmtId="42" fontId="3" fillId="0" borderId="52" xfId="1" applyNumberFormat="1" applyFont="1" applyBorder="1" applyProtection="1"/>
    <xf numFmtId="42" fontId="3" fillId="0" borderId="52" xfId="0" applyNumberFormat="1" applyFont="1" applyBorder="1"/>
    <xf numFmtId="42" fontId="3" fillId="0" borderId="53" xfId="1" applyNumberFormat="1" applyFont="1" applyBorder="1" applyProtection="1"/>
    <xf numFmtId="0" fontId="4" fillId="0" borderId="52" xfId="0" applyFont="1" applyBorder="1" applyAlignment="1">
      <alignment wrapText="1"/>
    </xf>
    <xf numFmtId="164" fontId="3" fillId="2" borderId="52" xfId="1" applyNumberFormat="1" applyFont="1" applyFill="1" applyBorder="1" applyProtection="1"/>
    <xf numFmtId="37" fontId="3" fillId="2" borderId="52" xfId="0" applyNumberFormat="1" applyFont="1" applyFill="1" applyBorder="1"/>
    <xf numFmtId="37" fontId="4" fillId="2" borderId="52" xfId="0" applyNumberFormat="1" applyFont="1" applyFill="1" applyBorder="1"/>
    <xf numFmtId="37" fontId="4" fillId="0" borderId="52" xfId="1" applyNumberFormat="1" applyFont="1" applyBorder="1" applyProtection="1"/>
    <xf numFmtId="37" fontId="3" fillId="2" borderId="52" xfId="1" applyNumberFormat="1" applyFont="1" applyFill="1" applyBorder="1" applyProtection="1"/>
    <xf numFmtId="44" fontId="3" fillId="0" borderId="52" xfId="1" applyFont="1" applyBorder="1" applyProtection="1"/>
    <xf numFmtId="37" fontId="4" fillId="0" borderId="52" xfId="0" applyNumberFormat="1" applyFont="1" applyBorder="1"/>
    <xf numFmtId="164" fontId="3" fillId="0" borderId="54" xfId="1" applyNumberFormat="1" applyFont="1" applyBorder="1" applyProtection="1"/>
    <xf numFmtId="0" fontId="3" fillId="0" borderId="55" xfId="0" applyFont="1" applyBorder="1" applyAlignment="1">
      <alignment horizontal="center" wrapText="1"/>
    </xf>
    <xf numFmtId="0" fontId="4" fillId="0" borderId="56" xfId="0" applyFont="1" applyBorder="1" applyAlignment="1">
      <alignment wrapText="1"/>
    </xf>
    <xf numFmtId="0" fontId="4" fillId="0" borderId="57" xfId="0" applyFont="1" applyBorder="1" applyAlignment="1">
      <alignment wrapText="1"/>
    </xf>
    <xf numFmtId="164" fontId="3" fillId="0" borderId="1" xfId="1" applyNumberFormat="1" applyFont="1" applyBorder="1" applyProtection="1"/>
    <xf numFmtId="164" fontId="3" fillId="0" borderId="52" xfId="1" applyNumberFormat="1" applyFont="1" applyBorder="1" applyProtection="1"/>
    <xf numFmtId="164" fontId="3" fillId="0" borderId="27" xfId="1" applyNumberFormat="1" applyFont="1" applyBorder="1" applyProtection="1"/>
    <xf numFmtId="39" fontId="3" fillId="0" borderId="41" xfId="1" applyNumberFormat="1" applyFont="1" applyBorder="1" applyProtection="1"/>
    <xf numFmtId="5" fontId="6" fillId="0" borderId="6" xfId="1" applyNumberFormat="1" applyFont="1" applyBorder="1" applyProtection="1"/>
    <xf numFmtId="39" fontId="6" fillId="0" borderId="46" xfId="1" applyNumberFormat="1" applyFont="1" applyBorder="1" applyProtection="1"/>
    <xf numFmtId="42" fontId="3" fillId="0" borderId="49" xfId="0" applyNumberFormat="1" applyFont="1" applyBorder="1" applyAlignment="1">
      <alignment wrapText="1"/>
    </xf>
    <xf numFmtId="37" fontId="4" fillId="0" borderId="26" xfId="0" applyNumberFormat="1" applyFont="1" applyBorder="1"/>
    <xf numFmtId="39" fontId="4" fillId="0" borderId="36" xfId="0" applyNumberFormat="1" applyFont="1" applyBorder="1"/>
    <xf numFmtId="0" fontId="4" fillId="0" borderId="17" xfId="0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42" fontId="3" fillId="0" borderId="9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5" fontId="6" fillId="0" borderId="0" xfId="1" applyNumberFormat="1" applyFont="1" applyBorder="1" applyProtection="1"/>
    <xf numFmtId="39" fontId="6" fillId="0" borderId="0" xfId="1" applyNumberFormat="1" applyFont="1" applyBorder="1" applyProtection="1"/>
    <xf numFmtId="5" fontId="3" fillId="0" borderId="0" xfId="0" applyNumberFormat="1" applyFont="1" applyAlignment="1">
      <alignment wrapText="1"/>
    </xf>
    <xf numFmtId="44" fontId="4" fillId="0" borderId="58" xfId="0" applyNumberFormat="1" applyFont="1" applyBorder="1" applyAlignment="1">
      <alignment wrapText="1"/>
    </xf>
    <xf numFmtId="5" fontId="9" fillId="0" borderId="51" xfId="0" applyNumberFormat="1" applyFont="1" applyBorder="1" applyAlignment="1">
      <alignment wrapText="1"/>
    </xf>
    <xf numFmtId="0" fontId="3" fillId="0" borderId="33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9" fontId="3" fillId="0" borderId="39" xfId="0" applyNumberFormat="1" applyFont="1" applyBorder="1" applyAlignment="1">
      <alignment horizontal="right"/>
    </xf>
    <xf numFmtId="39" fontId="3" fillId="0" borderId="24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9" fontId="3" fillId="0" borderId="31" xfId="0" applyNumberFormat="1" applyFont="1" applyBorder="1" applyAlignment="1">
      <alignment horizontal="right"/>
    </xf>
    <xf numFmtId="39" fontId="3" fillId="0" borderId="32" xfId="0" applyNumberFormat="1" applyFont="1" applyBorder="1" applyAlignment="1">
      <alignment horizontal="right"/>
    </xf>
    <xf numFmtId="39" fontId="3" fillId="0" borderId="33" xfId="0" applyNumberFormat="1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81"/>
  <sheetViews>
    <sheetView showGridLines="0" tabSelected="1" zoomScale="82" zoomScaleNormal="82" zoomScalePageLayoutView="75" workbookViewId="0">
      <selection sqref="A1:D2"/>
    </sheetView>
  </sheetViews>
  <sheetFormatPr defaultColWidth="9.81640625" defaultRowHeight="15.6" x14ac:dyDescent="0.3"/>
  <cols>
    <col min="1" max="1" width="49.453125" style="1" customWidth="1"/>
    <col min="2" max="2" width="12.08984375" style="1" customWidth="1"/>
    <col min="3" max="3" width="14.54296875" style="6" customWidth="1"/>
    <col min="4" max="4" width="14.1796875" style="4" customWidth="1"/>
    <col min="5" max="5" width="23.81640625" style="1" customWidth="1"/>
    <col min="6" max="16384" width="9.81640625" style="1"/>
  </cols>
  <sheetData>
    <row r="1" spans="1:6" ht="15.75" customHeight="1" x14ac:dyDescent="0.3">
      <c r="A1" s="145" t="s">
        <v>37</v>
      </c>
      <c r="B1" s="146"/>
      <c r="C1" s="146"/>
      <c r="D1" s="147"/>
    </row>
    <row r="2" spans="1:6" ht="16.5" customHeight="1" thickBot="1" x14ac:dyDescent="0.35">
      <c r="A2" s="143"/>
      <c r="B2" s="144"/>
      <c r="C2" s="144"/>
      <c r="D2" s="148"/>
    </row>
    <row r="3" spans="1:6" ht="24.9" customHeight="1" thickBot="1" x14ac:dyDescent="0.35">
      <c r="A3" s="74"/>
      <c r="B3" s="143" t="s">
        <v>62</v>
      </c>
      <c r="C3" s="144"/>
      <c r="D3" s="94" t="s">
        <v>64</v>
      </c>
    </row>
    <row r="4" spans="1:6" ht="30" customHeight="1" thickBot="1" x14ac:dyDescent="0.35">
      <c r="A4" s="72"/>
      <c r="B4" s="73"/>
      <c r="C4" s="77"/>
      <c r="D4" s="95"/>
    </row>
    <row r="5" spans="1:6" s="2" customFormat="1" ht="16.8" x14ac:dyDescent="0.3">
      <c r="A5" s="22"/>
      <c r="B5" s="75" t="s">
        <v>5</v>
      </c>
      <c r="C5" s="78" t="s">
        <v>18</v>
      </c>
      <c r="D5" s="110" t="s">
        <v>5</v>
      </c>
    </row>
    <row r="6" spans="1:6" s="2" customFormat="1" ht="17.399999999999999" thickBot="1" x14ac:dyDescent="0.35">
      <c r="A6" s="38" t="s">
        <v>9</v>
      </c>
      <c r="B6" s="76">
        <v>45930</v>
      </c>
      <c r="C6" s="79" t="s">
        <v>63</v>
      </c>
      <c r="D6" s="96">
        <v>46295</v>
      </c>
    </row>
    <row r="7" spans="1:6" ht="27" customHeight="1" x14ac:dyDescent="0.3">
      <c r="A7" s="18" t="s">
        <v>21</v>
      </c>
      <c r="B7" s="26">
        <f>(70*12*84)</f>
        <v>70560</v>
      </c>
      <c r="C7" s="80"/>
      <c r="D7" s="97">
        <f>(70*12*84)</f>
        <v>70560</v>
      </c>
      <c r="F7" s="5"/>
    </row>
    <row r="8" spans="1:6" ht="21" customHeight="1" x14ac:dyDescent="0.3">
      <c r="A8" s="18" t="s">
        <v>55</v>
      </c>
      <c r="B8" s="28">
        <f>+(72*-30)</f>
        <v>-2160</v>
      </c>
      <c r="C8" s="80">
        <f>-(72*30)</f>
        <v>-2160</v>
      </c>
      <c r="D8" s="98">
        <f>+(72*-30)</f>
        <v>-2160</v>
      </c>
    </row>
    <row r="9" spans="1:6" ht="18" customHeight="1" x14ac:dyDescent="0.3">
      <c r="A9" s="18" t="s">
        <v>47</v>
      </c>
      <c r="B9" s="28">
        <f>SUM(B7:B8)</f>
        <v>68400</v>
      </c>
      <c r="C9" s="81">
        <f>66300+90</f>
        <v>66390</v>
      </c>
      <c r="D9" s="98">
        <f>SUM(D7:D8)</f>
        <v>68400</v>
      </c>
    </row>
    <row r="10" spans="1:6" ht="16.8" x14ac:dyDescent="0.3">
      <c r="A10" s="18" t="s">
        <v>26</v>
      </c>
      <c r="B10" s="27">
        <f>0</f>
        <v>0</v>
      </c>
      <c r="C10" s="81">
        <v>180</v>
      </c>
      <c r="D10" s="99">
        <f>0</f>
        <v>0</v>
      </c>
    </row>
    <row r="11" spans="1:6" ht="16.8" x14ac:dyDescent="0.3">
      <c r="A11" s="17" t="s">
        <v>8</v>
      </c>
      <c r="B11" s="27">
        <v>300</v>
      </c>
      <c r="C11" s="49">
        <f>33.93+20+33.93</f>
        <v>87.86</v>
      </c>
      <c r="D11" s="99">
        <v>300</v>
      </c>
    </row>
    <row r="12" spans="1:6" ht="16.8" x14ac:dyDescent="0.3">
      <c r="A12" s="18" t="s">
        <v>20</v>
      </c>
      <c r="B12" s="27">
        <v>30</v>
      </c>
      <c r="C12" s="49">
        <f>0.28+0.63+0.61+0.62+0.61+0.55+0.59+0.56+0.57</f>
        <v>5.0199999999999996</v>
      </c>
      <c r="D12" s="99">
        <v>30</v>
      </c>
    </row>
    <row r="13" spans="1:6" ht="16.8" x14ac:dyDescent="0.3">
      <c r="A13" s="17" t="s">
        <v>15</v>
      </c>
      <c r="B13" s="27">
        <v>100</v>
      </c>
      <c r="C13" s="49">
        <f>50+50+50</f>
        <v>150</v>
      </c>
      <c r="D13" s="99">
        <v>100</v>
      </c>
    </row>
    <row r="14" spans="1:6" ht="16.8" x14ac:dyDescent="0.3">
      <c r="A14" s="17" t="s">
        <v>23</v>
      </c>
      <c r="B14" s="27">
        <v>250</v>
      </c>
      <c r="C14" s="82">
        <f>46.86+46.86+15.62+16.62</f>
        <v>125.96000000000001</v>
      </c>
      <c r="D14" s="99">
        <v>250</v>
      </c>
    </row>
    <row r="15" spans="1:6" ht="16.8" x14ac:dyDescent="0.3">
      <c r="A15" s="17" t="s">
        <v>22</v>
      </c>
      <c r="B15" s="27">
        <v>60</v>
      </c>
      <c r="C15" s="81">
        <f>41+5+4.38+5</f>
        <v>55.38</v>
      </c>
      <c r="D15" s="99">
        <v>60</v>
      </c>
    </row>
    <row r="16" spans="1:6" ht="16.8" x14ac:dyDescent="0.3">
      <c r="A16" s="36" t="s">
        <v>29</v>
      </c>
      <c r="B16" s="34">
        <f>SUM(B7:B15)-B9</f>
        <v>69140</v>
      </c>
      <c r="C16" s="83">
        <f>SUM(C9:C15)</f>
        <v>66994.220000000016</v>
      </c>
      <c r="D16" s="100">
        <f>SUM(D7:D15)-D9</f>
        <v>69140</v>
      </c>
    </row>
    <row r="17" spans="1:5" ht="16.8" x14ac:dyDescent="0.3">
      <c r="A17" s="23"/>
      <c r="B17" s="15"/>
      <c r="C17" s="84"/>
      <c r="D17" s="111"/>
    </row>
    <row r="18" spans="1:5" ht="17.399999999999999" thickBot="1" x14ac:dyDescent="0.35">
      <c r="A18" s="39" t="s">
        <v>10</v>
      </c>
      <c r="B18" s="19"/>
      <c r="C18" s="85"/>
      <c r="D18" s="112"/>
    </row>
    <row r="19" spans="1:5" ht="16.8" x14ac:dyDescent="0.3">
      <c r="A19" s="18" t="s">
        <v>30</v>
      </c>
      <c r="B19" s="9"/>
      <c r="C19" s="86"/>
      <c r="D19" s="101"/>
    </row>
    <row r="20" spans="1:5" ht="16.8" x14ac:dyDescent="0.3">
      <c r="A20" s="18" t="s">
        <v>46</v>
      </c>
      <c r="B20" s="28">
        <v>500</v>
      </c>
      <c r="C20" s="86">
        <f>15+69+167.74+35.42+5.86</f>
        <v>293.02000000000004</v>
      </c>
      <c r="D20" s="98">
        <v>500</v>
      </c>
    </row>
    <row r="21" spans="1:5" ht="16.8" x14ac:dyDescent="0.3">
      <c r="A21" s="18" t="s">
        <v>2</v>
      </c>
      <c r="B21" s="27">
        <v>100</v>
      </c>
      <c r="C21" s="86">
        <v>0</v>
      </c>
      <c r="D21" s="99">
        <v>100</v>
      </c>
    </row>
    <row r="22" spans="1:5" ht="16.8" x14ac:dyDescent="0.3">
      <c r="A22" s="18" t="s">
        <v>16</v>
      </c>
      <c r="B22" s="27">
        <v>0</v>
      </c>
      <c r="C22" s="86">
        <v>0</v>
      </c>
      <c r="D22" s="99">
        <v>0</v>
      </c>
    </row>
    <row r="23" spans="1:5" ht="16.8" x14ac:dyDescent="0.3">
      <c r="A23" s="18" t="s">
        <v>19</v>
      </c>
      <c r="B23" s="27">
        <v>0</v>
      </c>
      <c r="C23" s="86">
        <v>0</v>
      </c>
      <c r="D23" s="99">
        <v>0</v>
      </c>
    </row>
    <row r="24" spans="1:5" ht="16.8" x14ac:dyDescent="0.3">
      <c r="A24" s="18" t="s">
        <v>1</v>
      </c>
      <c r="B24" s="27">
        <v>150</v>
      </c>
      <c r="C24" s="86">
        <v>306.14</v>
      </c>
      <c r="D24" s="99">
        <v>300</v>
      </c>
    </row>
    <row r="25" spans="1:5" ht="15" customHeight="1" x14ac:dyDescent="0.3">
      <c r="A25" s="18" t="s">
        <v>11</v>
      </c>
      <c r="B25" s="27">
        <v>2000</v>
      </c>
      <c r="C25" s="86">
        <v>0</v>
      </c>
      <c r="D25" s="99">
        <v>2000</v>
      </c>
    </row>
    <row r="26" spans="1:5" ht="16.8" x14ac:dyDescent="0.3">
      <c r="A26" s="18" t="s">
        <v>4</v>
      </c>
      <c r="B26" s="28">
        <v>1500</v>
      </c>
      <c r="C26" s="86">
        <v>1565</v>
      </c>
      <c r="D26" s="98">
        <v>2000</v>
      </c>
      <c r="E26" s="4"/>
    </row>
    <row r="27" spans="1:5" ht="16.8" x14ac:dyDescent="0.3">
      <c r="A27" s="18" t="s">
        <v>24</v>
      </c>
      <c r="B27" s="28">
        <v>0</v>
      </c>
      <c r="C27" s="86">
        <v>0</v>
      </c>
      <c r="D27" s="98">
        <v>0</v>
      </c>
      <c r="E27" s="4"/>
    </row>
    <row r="28" spans="1:5" ht="16.8" x14ac:dyDescent="0.3">
      <c r="A28" s="18" t="s">
        <v>58</v>
      </c>
      <c r="B28" s="28">
        <v>0</v>
      </c>
      <c r="C28" s="87">
        <f>85+180+158.45</f>
        <v>423.45</v>
      </c>
      <c r="D28" s="98">
        <v>0</v>
      </c>
      <c r="E28" s="4"/>
    </row>
    <row r="29" spans="1:5" ht="16.8" x14ac:dyDescent="0.3">
      <c r="A29" s="18" t="s">
        <v>40</v>
      </c>
      <c r="B29" s="35">
        <v>2049</v>
      </c>
      <c r="C29" s="88">
        <v>0</v>
      </c>
      <c r="D29" s="102">
        <v>2049</v>
      </c>
    </row>
    <row r="30" spans="1:5" ht="16.8" x14ac:dyDescent="0.3">
      <c r="A30" s="18" t="s">
        <v>7</v>
      </c>
      <c r="B30" s="10"/>
      <c r="C30" s="86"/>
      <c r="D30" s="101"/>
    </row>
    <row r="31" spans="1:5" ht="16.8" x14ac:dyDescent="0.3">
      <c r="A31" s="18" t="s">
        <v>51</v>
      </c>
      <c r="B31" s="45">
        <v>0</v>
      </c>
      <c r="C31" s="86">
        <f>25.76+25+17.26+59.93</f>
        <v>127.95000000000002</v>
      </c>
      <c r="D31" s="103">
        <v>0</v>
      </c>
    </row>
    <row r="32" spans="1:5" ht="16.8" x14ac:dyDescent="0.3">
      <c r="A32" s="24" t="s">
        <v>31</v>
      </c>
      <c r="B32" s="45">
        <v>300</v>
      </c>
      <c r="C32" s="86">
        <v>136.65</v>
      </c>
      <c r="D32" s="103">
        <v>300</v>
      </c>
    </row>
    <row r="33" spans="1:8" ht="16.8" x14ac:dyDescent="0.3">
      <c r="A33" s="24" t="s">
        <v>32</v>
      </c>
      <c r="B33" s="45">
        <f>SUM(B34:B37)</f>
        <v>46101</v>
      </c>
      <c r="C33" s="89">
        <f>SUM(C34:C37)</f>
        <v>16264.63</v>
      </c>
      <c r="D33" s="103">
        <f>SUM(D34:D37)</f>
        <v>45491</v>
      </c>
    </row>
    <row r="34" spans="1:8" ht="16.8" x14ac:dyDescent="0.3">
      <c r="A34" s="23" t="s">
        <v>33</v>
      </c>
      <c r="B34" s="10">
        <v>17703</v>
      </c>
      <c r="C34" s="90">
        <v>12794</v>
      </c>
      <c r="D34" s="104">
        <v>17140</v>
      </c>
      <c r="H34" s="3"/>
    </row>
    <row r="35" spans="1:8" ht="16.8" x14ac:dyDescent="0.3">
      <c r="A35" s="23" t="s">
        <v>34</v>
      </c>
      <c r="B35" s="10">
        <v>19731</v>
      </c>
      <c r="C35" s="90">
        <v>2571.8200000000002</v>
      </c>
      <c r="D35" s="104">
        <v>19751</v>
      </c>
    </row>
    <row r="36" spans="1:8" ht="16.8" x14ac:dyDescent="0.3">
      <c r="A36" s="18" t="s">
        <v>35</v>
      </c>
      <c r="B36" s="10">
        <v>8667</v>
      </c>
      <c r="C36" s="90">
        <v>0</v>
      </c>
      <c r="D36" s="104">
        <v>8600</v>
      </c>
    </row>
    <row r="37" spans="1:8" ht="16.8" x14ac:dyDescent="0.3">
      <c r="A37" s="23" t="s">
        <v>36</v>
      </c>
      <c r="B37" s="12">
        <v>0</v>
      </c>
      <c r="C37" s="90">
        <f>400+35.76+328.05+135</f>
        <v>898.81</v>
      </c>
      <c r="D37" s="105">
        <v>0</v>
      </c>
    </row>
    <row r="38" spans="1:8" ht="16.8" x14ac:dyDescent="0.3">
      <c r="A38" s="18" t="s">
        <v>42</v>
      </c>
      <c r="B38" s="54">
        <v>15000</v>
      </c>
      <c r="C38" s="86">
        <v>5680</v>
      </c>
      <c r="D38" s="106">
        <v>15000</v>
      </c>
      <c r="E38" s="70"/>
    </row>
    <row r="39" spans="1:8" ht="16.8" x14ac:dyDescent="0.3">
      <c r="A39" s="18" t="s">
        <v>43</v>
      </c>
      <c r="B39" s="54">
        <v>300</v>
      </c>
      <c r="C39" s="81">
        <v>0</v>
      </c>
      <c r="D39" s="106">
        <v>300</v>
      </c>
    </row>
    <row r="40" spans="1:8" ht="16.8" x14ac:dyDescent="0.3">
      <c r="A40" s="18" t="s">
        <v>13</v>
      </c>
      <c r="B40" s="35">
        <f>SUM(B31:B33)+SUM(B38:B39)</f>
        <v>61701</v>
      </c>
      <c r="C40" s="88">
        <f>SUM(C31:C39)-C33</f>
        <v>22209.230000000003</v>
      </c>
      <c r="D40" s="102">
        <f>SUM(D31:D33)+SUM(D38:D39)</f>
        <v>61091</v>
      </c>
    </row>
    <row r="41" spans="1:8" ht="16.8" x14ac:dyDescent="0.3">
      <c r="A41" s="18" t="s">
        <v>0</v>
      </c>
      <c r="B41" s="13"/>
      <c r="C41" s="80"/>
      <c r="D41" s="107"/>
    </row>
    <row r="42" spans="1:8" ht="16.8" x14ac:dyDescent="0.3">
      <c r="A42" s="18" t="s">
        <v>27</v>
      </c>
      <c r="B42" s="10">
        <v>350</v>
      </c>
      <c r="C42" s="91">
        <f>26.08+26.78+17.92+25.89+27.58+27.23+26.84+30.26+30.45</f>
        <v>239.02999999999997</v>
      </c>
      <c r="D42" s="104">
        <v>400</v>
      </c>
    </row>
    <row r="43" spans="1:8" ht="16.8" x14ac:dyDescent="0.3">
      <c r="A43" s="23" t="s">
        <v>17</v>
      </c>
      <c r="B43" s="10">
        <v>300</v>
      </c>
      <c r="C43" s="92"/>
      <c r="D43" s="104">
        <v>300</v>
      </c>
    </row>
    <row r="44" spans="1:8" ht="16.8" x14ac:dyDescent="0.3">
      <c r="A44" s="23" t="s">
        <v>12</v>
      </c>
      <c r="B44" s="14">
        <v>300</v>
      </c>
      <c r="C44" s="92">
        <v>0</v>
      </c>
      <c r="D44" s="108">
        <v>300</v>
      </c>
    </row>
    <row r="45" spans="1:8" ht="16.8" x14ac:dyDescent="0.3">
      <c r="A45" s="23" t="s">
        <v>14</v>
      </c>
      <c r="B45" s="14">
        <v>0</v>
      </c>
      <c r="C45" s="92">
        <f>200.13+30.7</f>
        <v>230.82999999999998</v>
      </c>
      <c r="D45" s="108">
        <v>0</v>
      </c>
    </row>
    <row r="46" spans="1:8" ht="16.8" x14ac:dyDescent="0.3">
      <c r="A46" s="18" t="s">
        <v>6</v>
      </c>
      <c r="B46" s="37">
        <f>SUM(B42:B45)</f>
        <v>950</v>
      </c>
      <c r="C46" s="93">
        <f>SUM(C42:C45)</f>
        <v>469.85999999999996</v>
      </c>
      <c r="D46" s="109">
        <f>SUM(D42:D45)</f>
        <v>1000</v>
      </c>
    </row>
    <row r="47" spans="1:8" ht="17.399999999999999" thickBot="1" x14ac:dyDescent="0.35">
      <c r="A47" s="18" t="s">
        <v>52</v>
      </c>
      <c r="B47" s="113">
        <v>100</v>
      </c>
      <c r="C47" s="80"/>
      <c r="D47" s="114">
        <v>100</v>
      </c>
    </row>
    <row r="48" spans="1:8" ht="17.399999999999999" thickBot="1" x14ac:dyDescent="0.35">
      <c r="A48" s="36" t="s">
        <v>41</v>
      </c>
      <c r="B48" s="115">
        <f>SUM(B20:B33)+SUM(B38:B39)+SUM(B46:B47)</f>
        <v>69050</v>
      </c>
      <c r="C48" s="116">
        <f>SUM(C20:C29)+C40+C46+C47</f>
        <v>25266.700000000004</v>
      </c>
      <c r="D48" s="119">
        <f>+D20+D21+D22+D24+D23+D25+D26+D27+D28+D29+D31+D32+D34+D35+D36+D37+D38+D39+D46+D47</f>
        <v>69140</v>
      </c>
    </row>
    <row r="49" spans="1:7" ht="16.8" x14ac:dyDescent="0.3">
      <c r="A49" s="23"/>
      <c r="B49" s="7"/>
      <c r="C49" s="90"/>
      <c r="D49" s="101" t="s">
        <v>3</v>
      </c>
    </row>
    <row r="50" spans="1:7" ht="17.399999999999999" thickBot="1" x14ac:dyDescent="0.35">
      <c r="A50" s="25" t="s">
        <v>39</v>
      </c>
      <c r="B50" s="117">
        <f>+B16-B48</f>
        <v>90</v>
      </c>
      <c r="C50" s="118">
        <f>+C16-C48</f>
        <v>41727.520000000011</v>
      </c>
      <c r="D50" s="130">
        <f>+D16-D48</f>
        <v>0</v>
      </c>
    </row>
    <row r="51" spans="1:7" ht="16.8" x14ac:dyDescent="0.3">
      <c r="A51" s="125"/>
      <c r="B51" s="126"/>
      <c r="C51" s="127"/>
      <c r="D51" s="128"/>
    </row>
    <row r="52" spans="1:7" ht="17.399999999999999" thickBot="1" x14ac:dyDescent="0.35">
      <c r="A52" s="29"/>
      <c r="B52" s="16"/>
      <c r="C52" s="44"/>
      <c r="D52" s="11"/>
    </row>
    <row r="53" spans="1:7" ht="20.100000000000001" customHeight="1" x14ac:dyDescent="0.3">
      <c r="A53" s="71" t="s">
        <v>65</v>
      </c>
      <c r="B53" s="120"/>
      <c r="C53" s="121"/>
      <c r="D53" s="129"/>
    </row>
    <row r="54" spans="1:7" ht="16.8" x14ac:dyDescent="0.3">
      <c r="A54" s="30" t="s">
        <v>66</v>
      </c>
      <c r="B54" s="31">
        <v>3759</v>
      </c>
      <c r="C54" s="42">
        <v>3759.12</v>
      </c>
      <c r="D54" s="123">
        <v>3747</v>
      </c>
    </row>
    <row r="55" spans="1:7" ht="16.8" x14ac:dyDescent="0.3">
      <c r="A55" s="17" t="s">
        <v>53</v>
      </c>
      <c r="B55" s="32">
        <f>15*12*63</f>
        <v>11340</v>
      </c>
      <c r="C55" s="41">
        <v>10905</v>
      </c>
      <c r="D55" s="122">
        <v>11340</v>
      </c>
      <c r="E55" s="8"/>
      <c r="F55" s="8"/>
      <c r="G55" s="49"/>
    </row>
    <row r="56" spans="1:7" ht="16.8" x14ac:dyDescent="0.3">
      <c r="A56" s="18" t="s">
        <v>38</v>
      </c>
      <c r="B56" s="10">
        <f>+(880*3)+(968*9)</f>
        <v>11352</v>
      </c>
      <c r="C56" s="43">
        <f>880+880+880+880+968+968+968+968+968</f>
        <v>8360</v>
      </c>
      <c r="D56" s="122">
        <f>(968*3)+(1065*9)</f>
        <v>12489</v>
      </c>
    </row>
    <row r="57" spans="1:7" ht="17.399999999999999" thickBot="1" x14ac:dyDescent="0.35">
      <c r="A57" s="25" t="s">
        <v>28</v>
      </c>
      <c r="B57" s="33">
        <f>+B54+B55-B56</f>
        <v>3747</v>
      </c>
      <c r="C57" s="50">
        <f>+C54+C55-C56</f>
        <v>6304.119999999999</v>
      </c>
      <c r="D57" s="124">
        <f>+D54+D55-D56</f>
        <v>2598</v>
      </c>
    </row>
    <row r="58" spans="1:7" ht="16.8" x14ac:dyDescent="0.3">
      <c r="A58" s="29"/>
      <c r="B58" s="16"/>
      <c r="C58" s="44"/>
      <c r="D58" s="11"/>
    </row>
    <row r="59" spans="1:7" ht="17.399999999999999" thickBot="1" x14ac:dyDescent="0.35">
      <c r="A59" s="7"/>
      <c r="B59" s="7"/>
      <c r="C59" s="44"/>
      <c r="D59" s="1"/>
    </row>
    <row r="60" spans="1:7" ht="17.399999999999999" thickBot="1" x14ac:dyDescent="0.35">
      <c r="A60" s="140" t="s">
        <v>45</v>
      </c>
      <c r="B60" s="141"/>
      <c r="C60" s="142"/>
      <c r="D60" s="1"/>
    </row>
    <row r="61" spans="1:7" ht="17.399999999999999" thickBot="1" x14ac:dyDescent="0.35">
      <c r="A61" s="52" t="s">
        <v>60</v>
      </c>
      <c r="B61" s="61"/>
      <c r="C61" s="67">
        <v>6141.56</v>
      </c>
      <c r="D61" s="68"/>
    </row>
    <row r="62" spans="1:7" ht="17.399999999999999" thickBot="1" x14ac:dyDescent="0.35">
      <c r="A62" s="21" t="s">
        <v>56</v>
      </c>
      <c r="B62" s="62"/>
      <c r="C62" s="65">
        <v>12892.25</v>
      </c>
      <c r="D62" s="68"/>
    </row>
    <row r="63" spans="1:7" ht="17.399999999999999" thickBot="1" x14ac:dyDescent="0.35">
      <c r="A63" s="21" t="s">
        <v>57</v>
      </c>
      <c r="B63" s="62"/>
      <c r="C63" s="66">
        <v>15457.14</v>
      </c>
      <c r="D63" s="68"/>
    </row>
    <row r="64" spans="1:7" ht="17.399999999999999" thickBot="1" x14ac:dyDescent="0.35">
      <c r="A64" s="53" t="s">
        <v>61</v>
      </c>
      <c r="B64" s="63"/>
      <c r="C64" s="66">
        <v>17049</v>
      </c>
      <c r="D64" s="68"/>
    </row>
    <row r="65" spans="1:6" ht="17.399999999999999" thickBot="1" x14ac:dyDescent="0.35">
      <c r="A65" s="51"/>
      <c r="B65" s="64" t="s">
        <v>25</v>
      </c>
      <c r="C65" s="65">
        <f>SUM(C61:C64)</f>
        <v>51539.95</v>
      </c>
      <c r="D65" s="1"/>
    </row>
    <row r="66" spans="1:6" ht="17.399999999999999" thickBot="1" x14ac:dyDescent="0.35">
      <c r="A66" s="7"/>
      <c r="B66" s="7"/>
      <c r="C66" s="46"/>
      <c r="D66" s="1"/>
    </row>
    <row r="67" spans="1:6" ht="17.399999999999999" thickBot="1" x14ac:dyDescent="0.35">
      <c r="A67" s="55" t="s">
        <v>67</v>
      </c>
      <c r="B67" s="149"/>
      <c r="C67" s="150"/>
      <c r="D67"/>
    </row>
    <row r="68" spans="1:6" ht="17.399999999999999" thickBot="1" x14ac:dyDescent="0.35">
      <c r="A68" s="56"/>
      <c r="B68" s="135" t="s">
        <v>18</v>
      </c>
      <c r="C68" s="136"/>
      <c r="D68"/>
    </row>
    <row r="69" spans="1:6" ht="16.8" x14ac:dyDescent="0.3">
      <c r="A69" s="57" t="s">
        <v>48</v>
      </c>
      <c r="B69" s="137">
        <v>3637.6</v>
      </c>
      <c r="C69" s="138"/>
      <c r="D69" s="48"/>
      <c r="F69" s="47"/>
    </row>
    <row r="70" spans="1:6" ht="16.8" x14ac:dyDescent="0.3">
      <c r="A70" s="20" t="s">
        <v>49</v>
      </c>
      <c r="B70" s="139">
        <v>23000</v>
      </c>
      <c r="C70" s="134"/>
      <c r="D70" s="48"/>
    </row>
    <row r="71" spans="1:6" ht="16.8" x14ac:dyDescent="0.3">
      <c r="A71" s="20" t="s">
        <v>68</v>
      </c>
      <c r="B71" s="139">
        <f>0.29+1.22+1.22+1.18+0.7+0.48+0.49+0.51+0.68+0.77+0.74+0.77+0.77+0.77+0.77+0.77</f>
        <v>12.129999999999997</v>
      </c>
      <c r="C71" s="134"/>
      <c r="D71" s="69"/>
    </row>
    <row r="72" spans="1:6" ht="16.8" x14ac:dyDescent="0.3">
      <c r="A72" s="20" t="s">
        <v>50</v>
      </c>
      <c r="B72" s="139">
        <v>2049</v>
      </c>
      <c r="C72" s="134"/>
      <c r="D72" s="48"/>
    </row>
    <row r="73" spans="1:6" ht="16.8" x14ac:dyDescent="0.3">
      <c r="A73" s="20" t="s">
        <v>69</v>
      </c>
      <c r="B73" s="133">
        <v>2049</v>
      </c>
      <c r="C73" s="134"/>
      <c r="D73" s="48"/>
    </row>
    <row r="74" spans="1:6" ht="16.8" x14ac:dyDescent="0.3">
      <c r="A74" s="21" t="s">
        <v>54</v>
      </c>
      <c r="B74" s="139">
        <f>-17049</f>
        <v>-17049</v>
      </c>
      <c r="C74" s="134"/>
      <c r="D74" s="48"/>
    </row>
    <row r="75" spans="1:6" ht="17.399999999999999" thickBot="1" x14ac:dyDescent="0.35">
      <c r="A75" s="20" t="s">
        <v>59</v>
      </c>
      <c r="B75" s="131">
        <v>6141.56</v>
      </c>
      <c r="C75" s="132"/>
      <c r="D75" s="48"/>
    </row>
    <row r="76" spans="1:6" ht="17.399999999999999" thickBot="1" x14ac:dyDescent="0.35">
      <c r="A76" s="58" t="s">
        <v>44</v>
      </c>
      <c r="B76" s="59"/>
      <c r="C76" s="60">
        <f>SUM(B69:B75)</f>
        <v>19840.29</v>
      </c>
      <c r="D76" s="48"/>
    </row>
    <row r="77" spans="1:6" ht="16.8" x14ac:dyDescent="0.3">
      <c r="A77" s="8"/>
      <c r="B77" s="8"/>
      <c r="C77" s="40"/>
    </row>
    <row r="78" spans="1:6" ht="16.8" x14ac:dyDescent="0.3">
      <c r="A78" s="8"/>
      <c r="B78" s="8"/>
      <c r="C78" s="40"/>
    </row>
    <row r="79" spans="1:6" ht="16.8" x14ac:dyDescent="0.3">
      <c r="A79" s="8"/>
      <c r="B79" s="8"/>
      <c r="C79" s="40"/>
    </row>
    <row r="80" spans="1:6" ht="16.8" x14ac:dyDescent="0.3">
      <c r="A80" s="8"/>
      <c r="B80" s="8"/>
      <c r="C80" s="40"/>
    </row>
    <row r="81" spans="1:3" ht="16.8" x14ac:dyDescent="0.3">
      <c r="A81" s="8"/>
      <c r="B81" s="8"/>
      <c r="C81" s="40"/>
    </row>
  </sheetData>
  <mergeCells count="12">
    <mergeCell ref="A60:C60"/>
    <mergeCell ref="B3:C3"/>
    <mergeCell ref="A1:D2"/>
    <mergeCell ref="B67:C67"/>
    <mergeCell ref="B74:C74"/>
    <mergeCell ref="B75:C75"/>
    <mergeCell ref="B73:C73"/>
    <mergeCell ref="B68:C68"/>
    <mergeCell ref="B69:C69"/>
    <mergeCell ref="B70:C70"/>
    <mergeCell ref="B71:C71"/>
    <mergeCell ref="B72:C72"/>
  </mergeCells>
  <printOptions horizontalCentered="1" verticalCentered="1"/>
  <pageMargins left="0.25" right="0.25" top="0.25" bottom="0.2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</vt:lpstr>
      <vt:lpstr>Monthly!Print_Area</vt:lpstr>
      <vt:lpstr>Monthly!Print_Titles</vt:lpstr>
    </vt:vector>
  </TitlesOfParts>
  <Company>Lincoln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kerickson72@gmail.com</dc:creator>
  <cp:lastModifiedBy>Mark Wagner</cp:lastModifiedBy>
  <cp:lastPrinted>2025-07-06T21:25:53Z</cp:lastPrinted>
  <dcterms:created xsi:type="dcterms:W3CDTF">1998-09-13T17:13:00Z</dcterms:created>
  <dcterms:modified xsi:type="dcterms:W3CDTF">2025-07-19T01:09:25Z</dcterms:modified>
</cp:coreProperties>
</file>